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mdotgov.sharepoint.com/sites/EnvorionmentandSustainableTransportation/Shared Documents/ATM/Bikeways Grant Program/Admin Documents/Cost Estimator Updates/2026 update/"/>
    </mc:Choice>
  </mc:AlternateContent>
  <xr:revisionPtr revIDLastSave="4969" documentId="8_{2715F2E3-3F0A-436A-A739-A824338B399A}" xr6:coauthVersionLast="47" xr6:coauthVersionMax="47" xr10:uidLastSave="{B8A2C657-F4FF-481E-93D5-8331A4EDA388}"/>
  <workbookProtection workbookAlgorithmName="SHA-512" workbookHashValue="HAzr5oYtXKcEX3TQpyJwxhiBO8ip39NPSb5RmzpfLvHjqLkJShixcMOjcz1HH6RBOkY+r4H1SGAgPa0FR4jZbQ==" workbookSaltValue="sRHuHtFpMNaw+D/Y7oJiOg==" workbookSpinCount="100000" lockStructure="1"/>
  <bookViews>
    <workbookView xWindow="28680" yWindow="-120" windowWidth="29040" windowHeight="15720" tabRatio="855" activeTab="1" xr2:uid="{679FE14C-A3D4-420C-8776-E732C25A7271}"/>
  </bookViews>
  <sheets>
    <sheet name="INSTRUCTIONS" sheetId="20" r:id="rId1"/>
    <sheet name="Introduction" sheetId="19" r:id="rId2"/>
    <sheet name="Table of Contents" sheetId="21" r:id="rId3"/>
    <sheet name="Master List of Items" sheetId="22" r:id="rId4"/>
    <sheet name="Shared Lane" sheetId="9" r:id="rId5"/>
    <sheet name="Bike Lane Curbside" sheetId="7" r:id="rId6"/>
    <sheet name="Bike Lane w Parking" sheetId="8" r:id="rId7"/>
    <sheet name="Buffer Bike Lane Curbside" sheetId="14" r:id="rId8"/>
    <sheet name="Protected Two-Way Bike Lane" sheetId="16" r:id="rId9"/>
    <sheet name="Bike Blvd" sheetId="17" r:id="rId10"/>
    <sheet name="Shared-Use Paths" sheetId="6" r:id="rId11"/>
    <sheet name="Complete Sts Intersection" sheetId="23" r:id="rId12"/>
  </sheets>
  <definedNames>
    <definedName name="_xlnm.Print_Area" localSheetId="9">'Bike Blvd'!$A$1:$AD$1</definedName>
    <definedName name="_xlnm.Print_Area" localSheetId="5">'Bike Lane Curbside'!$A$1:$AD$1</definedName>
    <definedName name="_xlnm.Print_Area" localSheetId="6">'Bike Lane w Parking'!$A$1:$AD$1</definedName>
    <definedName name="_xlnm.Print_Area" localSheetId="7">'Buffer Bike Lane Curbside'!$A$1:$AD$1</definedName>
    <definedName name="_xlnm.Print_Area" localSheetId="11">'Complete Sts Intersection'!$A$1:$AD$1</definedName>
    <definedName name="_xlnm.Print_Area" localSheetId="0">INSTRUCTIONS!$A$1:$A$37</definedName>
    <definedName name="_xlnm.Print_Area" localSheetId="1">Introduction!$A$1:$A$11</definedName>
    <definedName name="_xlnm.Print_Area" localSheetId="3">'Master List of Items'!$A$2:$F$73</definedName>
    <definedName name="_xlnm.Print_Area" localSheetId="8">'Protected Two-Way Bike Lane'!$A$1:$AD$1</definedName>
    <definedName name="_xlnm.Print_Area" localSheetId="4">'Shared Lane'!$A$1:$AD$1</definedName>
    <definedName name="_xlnm.Print_Area" localSheetId="10">'Shared-Use Paths'!$A$2:$W$5</definedName>
    <definedName name="_xlnm.Print_Area" localSheetId="2">'Table of Contents'!$A$2:$C$10</definedName>
    <definedName name="_xlnm.Print_Titles" localSheetId="2">'Table of Contents'!$2:$2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3" l="1"/>
  <c r="G37" i="14"/>
  <c r="G42" i="16"/>
  <c r="E18" i="23"/>
  <c r="D39" i="22"/>
  <c r="D59" i="22"/>
  <c r="E28" i="16"/>
  <c r="D15" i="22"/>
  <c r="E15" i="22"/>
  <c r="D51" i="22"/>
  <c r="B34" i="22" l="1"/>
  <c r="E33" i="6"/>
  <c r="E50" i="22"/>
  <c r="E22" i="17"/>
  <c r="E25" i="16"/>
  <c r="E25" i="14"/>
  <c r="E24" i="8"/>
  <c r="E24" i="7"/>
  <c r="E18" i="9"/>
  <c r="E29" i="17"/>
  <c r="E17" i="17"/>
  <c r="E22" i="16"/>
  <c r="E22" i="14"/>
  <c r="E21" i="8"/>
  <c r="E21" i="7"/>
  <c r="E23" i="23" l="1"/>
  <c r="E21" i="23"/>
  <c r="E14" i="23"/>
  <c r="E6" i="23"/>
  <c r="B11" i="22"/>
  <c r="F8" i="22" s="1"/>
  <c r="D21" i="22"/>
  <c r="D22" i="22"/>
  <c r="D20" i="22"/>
  <c r="E35" i="6"/>
  <c r="E34" i="6"/>
  <c r="E10" i="23" l="1"/>
  <c r="E11" i="23"/>
  <c r="E26" i="22"/>
  <c r="E27" i="22"/>
  <c r="E25" i="22"/>
  <c r="E34" i="22"/>
  <c r="F24" i="17" s="1"/>
  <c r="G24" i="17" s="1"/>
  <c r="E55" i="22"/>
  <c r="E56" i="22"/>
  <c r="E67" i="22"/>
  <c r="F38" i="6" s="1"/>
  <c r="G38" i="6" s="1"/>
  <c r="E46" i="22"/>
  <c r="E47" i="22"/>
  <c r="E48" i="22"/>
  <c r="E49" i="22"/>
  <c r="E18" i="22"/>
  <c r="F15" i="17" s="1"/>
  <c r="E44" i="22"/>
  <c r="F27" i="23" s="1"/>
  <c r="G27" i="23" s="1"/>
  <c r="E51" i="22"/>
  <c r="F34" i="23" s="1"/>
  <c r="E18" i="17"/>
  <c r="E6" i="17"/>
  <c r="E30" i="16"/>
  <c r="E16" i="14"/>
  <c r="E16" i="16"/>
  <c r="E7" i="16"/>
  <c r="E13" i="16" s="1"/>
  <c r="E15" i="8"/>
  <c r="E33" i="14"/>
  <c r="E31" i="14"/>
  <c r="E7" i="14"/>
  <c r="E13" i="14" s="1"/>
  <c r="E7" i="8"/>
  <c r="E12" i="8" s="1"/>
  <c r="E15" i="7"/>
  <c r="E7" i="7"/>
  <c r="E13" i="7" s="1"/>
  <c r="E7" i="9"/>
  <c r="E13" i="9" s="1"/>
  <c r="B33" i="22"/>
  <c r="B32" i="22"/>
  <c r="B31" i="22"/>
  <c r="B30" i="22"/>
  <c r="B29" i="22"/>
  <c r="F17" i="7" l="1"/>
  <c r="G17" i="7" s="1"/>
  <c r="F18" i="16"/>
  <c r="G18" i="16" s="1"/>
  <c r="F18" i="14"/>
  <c r="G18" i="14" s="1"/>
  <c r="F17" i="8"/>
  <c r="G17" i="8" s="1"/>
  <c r="F19" i="7"/>
  <c r="G19" i="7" s="1"/>
  <c r="F20" i="16"/>
  <c r="G20" i="16" s="1"/>
  <c r="F20" i="14"/>
  <c r="G20" i="14" s="1"/>
  <c r="F19" i="8"/>
  <c r="G19" i="8" s="1"/>
  <c r="F18" i="7"/>
  <c r="G18" i="7" s="1"/>
  <c r="F19" i="16"/>
  <c r="G19" i="16" s="1"/>
  <c r="F19" i="14"/>
  <c r="G19" i="14" s="1"/>
  <c r="F18" i="8"/>
  <c r="G18" i="8" s="1"/>
  <c r="F33" i="17"/>
  <c r="F30" i="23"/>
  <c r="G30" i="23" s="1"/>
  <c r="F32" i="17"/>
  <c r="F29" i="23"/>
  <c r="F36" i="14"/>
  <c r="G36" i="14" s="1"/>
  <c r="F38" i="23"/>
  <c r="G38" i="23" s="1"/>
  <c r="F41" i="16"/>
  <c r="G41" i="16" s="1"/>
  <c r="F35" i="14"/>
  <c r="G35" i="14" s="1"/>
  <c r="F37" i="23"/>
  <c r="G37" i="23" s="1"/>
  <c r="F40" i="16"/>
  <c r="G40" i="16" s="1"/>
  <c r="F35" i="17"/>
  <c r="F32" i="23"/>
  <c r="F34" i="17"/>
  <c r="F31" i="23"/>
  <c r="E12" i="9"/>
  <c r="E15" i="17"/>
  <c r="E16" i="17"/>
  <c r="E12" i="7"/>
  <c r="E13" i="8"/>
  <c r="E43" i="22"/>
  <c r="E64" i="22"/>
  <c r="E69" i="22"/>
  <c r="E5" i="6" s="1"/>
  <c r="F5" i="6" s="1"/>
  <c r="E66" i="22"/>
  <c r="E35" i="22"/>
  <c r="F20" i="9" s="1"/>
  <c r="G20" i="9" s="1"/>
  <c r="E12" i="16"/>
  <c r="E12" i="14"/>
  <c r="G33" i="23"/>
  <c r="E58" i="22"/>
  <c r="E21" i="22"/>
  <c r="E52" i="22"/>
  <c r="E37" i="22"/>
  <c r="E23" i="22"/>
  <c r="F14" i="23" s="1"/>
  <c r="E39" i="22"/>
  <c r="F23" i="23" s="1"/>
  <c r="G23" i="23" s="1"/>
  <c r="E40" i="22"/>
  <c r="F34" i="14" s="1"/>
  <c r="G34" i="14" s="1"/>
  <c r="E60" i="22"/>
  <c r="E30" i="22"/>
  <c r="E42" i="22"/>
  <c r="E61" i="22"/>
  <c r="E33" i="22"/>
  <c r="E22" i="22"/>
  <c r="E54" i="22"/>
  <c r="E38" i="22"/>
  <c r="F22" i="23" s="1"/>
  <c r="G22" i="23" s="1"/>
  <c r="E29" i="22"/>
  <c r="E59" i="22"/>
  <c r="E62" i="22"/>
  <c r="F12" i="9"/>
  <c r="E31" i="22"/>
  <c r="E63" i="22"/>
  <c r="E19" i="22"/>
  <c r="E20" i="22"/>
  <c r="F11" i="23" s="1"/>
  <c r="G11" i="23" s="1"/>
  <c r="E32" i="22"/>
  <c r="G8" i="6" l="1"/>
  <c r="G10" i="6"/>
  <c r="G9" i="6"/>
  <c r="F22" i="6"/>
  <c r="G22" i="6" s="1"/>
  <c r="F23" i="6"/>
  <c r="G23" i="6" s="1"/>
  <c r="F25" i="6"/>
  <c r="G25" i="6" s="1"/>
  <c r="F24" i="6"/>
  <c r="G24" i="6" s="1"/>
  <c r="F21" i="23"/>
  <c r="G21" i="23" s="1"/>
  <c r="F29" i="17"/>
  <c r="G29" i="17" s="1"/>
  <c r="F30" i="17"/>
  <c r="G30" i="17" s="1"/>
  <c r="F31" i="17"/>
  <c r="G31" i="17" s="1"/>
  <c r="F35" i="23"/>
  <c r="G35" i="23" s="1"/>
  <c r="F36" i="23"/>
  <c r="G36" i="23" s="1"/>
  <c r="F37" i="17"/>
  <c r="G37" i="17" s="1"/>
  <c r="F17" i="23"/>
  <c r="G17" i="23" s="1"/>
  <c r="F24" i="14"/>
  <c r="G24" i="14" s="1"/>
  <c r="F23" i="8"/>
  <c r="G23" i="8" s="1"/>
  <c r="F24" i="16"/>
  <c r="G24" i="16" s="1"/>
  <c r="F23" i="7"/>
  <c r="G23" i="7" s="1"/>
  <c r="F21" i="17"/>
  <c r="G21" i="17" s="1"/>
  <c r="F29" i="14"/>
  <c r="G29" i="14" s="1"/>
  <c r="F31" i="6"/>
  <c r="G31" i="6" s="1"/>
  <c r="F34" i="16"/>
  <c r="G34" i="16" s="1"/>
  <c r="F27" i="17"/>
  <c r="G27" i="17" s="1"/>
  <c r="F18" i="23"/>
  <c r="G18" i="23" s="1"/>
  <c r="F22" i="17"/>
  <c r="G22" i="17" s="1"/>
  <c r="F24" i="8"/>
  <c r="G24" i="8" s="1"/>
  <c r="F25" i="16"/>
  <c r="G25" i="16" s="1"/>
  <c r="F24" i="7"/>
  <c r="G24" i="7" s="1"/>
  <c r="F25" i="14"/>
  <c r="G25" i="14" s="1"/>
  <c r="F19" i="23"/>
  <c r="G19" i="23" s="1"/>
  <c r="F23" i="17"/>
  <c r="G23" i="17" s="1"/>
  <c r="F25" i="8"/>
  <c r="G25" i="8" s="1"/>
  <c r="F26" i="16"/>
  <c r="G26" i="16" s="1"/>
  <c r="F25" i="7"/>
  <c r="G25" i="7" s="1"/>
  <c r="F26" i="14"/>
  <c r="G26" i="14" s="1"/>
  <c r="F28" i="14"/>
  <c r="G28" i="14" s="1"/>
  <c r="F30" i="6"/>
  <c r="G30" i="6" s="1"/>
  <c r="F33" i="16"/>
  <c r="G33" i="16" s="1"/>
  <c r="F26" i="17"/>
  <c r="G26" i="17" s="1"/>
  <c r="F20" i="17"/>
  <c r="G20" i="17" s="1"/>
  <c r="F23" i="16"/>
  <c r="G23" i="16" s="1"/>
  <c r="F22" i="7"/>
  <c r="G22" i="7" s="1"/>
  <c r="F16" i="23"/>
  <c r="G16" i="23" s="1"/>
  <c r="F23" i="14"/>
  <c r="G23" i="14" s="1"/>
  <c r="F22" i="8"/>
  <c r="G22" i="8" s="1"/>
  <c r="G14" i="23"/>
  <c r="F13" i="23"/>
  <c r="G13" i="23" s="1"/>
  <c r="F12" i="23"/>
  <c r="G12" i="23" s="1"/>
  <c r="F25" i="23"/>
  <c r="G25" i="23" s="1"/>
  <c r="F26" i="23"/>
  <c r="G26" i="23" s="1"/>
  <c r="F10" i="23"/>
  <c r="G10" i="23" s="1"/>
  <c r="G31" i="23"/>
  <c r="G34" i="23"/>
  <c r="G32" i="23"/>
  <c r="G35" i="17"/>
  <c r="G36" i="17"/>
  <c r="F35" i="6"/>
  <c r="G35" i="6" s="1"/>
  <c r="F34" i="6"/>
  <c r="G34" i="6" s="1"/>
  <c r="F33" i="6"/>
  <c r="G33" i="6" s="1"/>
  <c r="F20" i="6"/>
  <c r="G20" i="6" s="1"/>
  <c r="F19" i="6"/>
  <c r="G19" i="6" s="1"/>
  <c r="F18" i="6"/>
  <c r="G18" i="6" s="1"/>
  <c r="F17" i="6"/>
  <c r="G17" i="6" s="1"/>
  <c r="F37" i="6"/>
  <c r="G37" i="6" s="1"/>
  <c r="F28" i="6"/>
  <c r="G28" i="6" s="1"/>
  <c r="F27" i="6"/>
  <c r="G27" i="6" s="1"/>
  <c r="F15" i="6"/>
  <c r="G15" i="6" s="1"/>
  <c r="F14" i="6"/>
  <c r="G14" i="6" s="1"/>
  <c r="F13" i="6"/>
  <c r="G13" i="6" s="1"/>
  <c r="F38" i="16"/>
  <c r="G38" i="16" s="1"/>
  <c r="G34" i="17"/>
  <c r="F37" i="16"/>
  <c r="G37" i="16" s="1"/>
  <c r="G33" i="17"/>
  <c r="F39" i="16"/>
  <c r="G39" i="16" s="1"/>
  <c r="F18" i="9"/>
  <c r="G18" i="9" s="1"/>
  <c r="F13" i="9"/>
  <c r="F16" i="17"/>
  <c r="G16" i="17" s="1"/>
  <c r="F13" i="14"/>
  <c r="G13" i="14" s="1"/>
  <c r="F13" i="16"/>
  <c r="G13" i="16" s="1"/>
  <c r="F13" i="8"/>
  <c r="G13" i="8" s="1"/>
  <c r="F13" i="7"/>
  <c r="G13" i="7" s="1"/>
  <c r="G15" i="17"/>
  <c r="F12" i="14"/>
  <c r="G12" i="14" s="1"/>
  <c r="F12" i="16"/>
  <c r="G12" i="16" s="1"/>
  <c r="F12" i="8"/>
  <c r="G12" i="8" s="1"/>
  <c r="F12" i="7"/>
  <c r="G12" i="7" s="1"/>
  <c r="F17" i="9"/>
  <c r="G17" i="9" s="1"/>
  <c r="F22" i="16"/>
  <c r="G22" i="16" s="1"/>
  <c r="F22" i="14"/>
  <c r="G22" i="14" s="1"/>
  <c r="F21" i="8"/>
  <c r="G21" i="8" s="1"/>
  <c r="F21" i="7"/>
  <c r="G21" i="7" s="1"/>
  <c r="F29" i="16"/>
  <c r="G29" i="16" s="1"/>
  <c r="F32" i="14"/>
  <c r="G32" i="14" s="1"/>
  <c r="F14" i="9"/>
  <c r="F18" i="17"/>
  <c r="G18" i="17" s="1"/>
  <c r="F15" i="14"/>
  <c r="G15" i="14" s="1"/>
  <c r="F15" i="16"/>
  <c r="G15" i="16" s="1"/>
  <c r="F14" i="7"/>
  <c r="G14" i="7" s="1"/>
  <c r="F14" i="8"/>
  <c r="G14" i="8" s="1"/>
  <c r="F19" i="9"/>
  <c r="G19" i="9" s="1"/>
  <c r="F16" i="9"/>
  <c r="G16" i="9" s="1"/>
  <c r="F31" i="16"/>
  <c r="G31" i="16" s="1"/>
  <c r="F30" i="16"/>
  <c r="G30" i="16" s="1"/>
  <c r="F33" i="14"/>
  <c r="G33" i="14" s="1"/>
  <c r="F15" i="7"/>
  <c r="G15" i="7" s="1"/>
  <c r="F16" i="14"/>
  <c r="G16" i="14" s="1"/>
  <c r="F16" i="16"/>
  <c r="G16" i="16" s="1"/>
  <c r="F15" i="8"/>
  <c r="G15" i="8" s="1"/>
  <c r="F28" i="16"/>
  <c r="G28" i="16" s="1"/>
  <c r="F31" i="14"/>
  <c r="G31" i="14" s="1"/>
  <c r="F17" i="17"/>
  <c r="G17" i="17" s="1"/>
  <c r="F14" i="14"/>
  <c r="G14" i="14" s="1"/>
  <c r="F14" i="16"/>
  <c r="G14" i="16" s="1"/>
  <c r="G11" i="6" l="1"/>
  <c r="G39" i="6" s="1"/>
  <c r="G40" i="6" s="1"/>
  <c r="G41" i="6" s="1"/>
  <c r="G38" i="14"/>
  <c r="G39" i="14" s="1"/>
  <c r="G40" i="14" s="1"/>
  <c r="G41" i="14" s="1"/>
  <c r="G26" i="8"/>
  <c r="G27" i="8" s="1"/>
  <c r="G28" i="8" s="1"/>
  <c r="G26" i="7"/>
  <c r="G27" i="7" s="1"/>
  <c r="G28" i="7" s="1"/>
  <c r="G12" i="9"/>
  <c r="G13" i="9"/>
  <c r="G14" i="9"/>
  <c r="G29" i="7" l="1"/>
  <c r="G30" i="7" s="1"/>
  <c r="G42" i="6"/>
  <c r="G43" i="6" s="1"/>
  <c r="G42" i="14"/>
  <c r="G29" i="8"/>
  <c r="G30" i="8" s="1"/>
  <c r="G21" i="9"/>
  <c r="G22" i="9" s="1"/>
  <c r="G23" i="9" s="1"/>
  <c r="G31" i="7" l="1"/>
  <c r="G32" i="7" s="1"/>
  <c r="G44" i="6"/>
  <c r="G43" i="14"/>
  <c r="G31" i="8"/>
  <c r="G24" i="9"/>
  <c r="G25" i="9" s="1"/>
  <c r="G32" i="8" l="1"/>
  <c r="G45" i="6"/>
  <c r="G26" i="9"/>
  <c r="G27" i="9" l="1"/>
  <c r="G32" i="17"/>
  <c r="G38" i="17" s="1"/>
  <c r="F36" i="16"/>
  <c r="G36" i="16" s="1"/>
  <c r="G43" i="16" s="1"/>
  <c r="G29" i="23"/>
  <c r="G40" i="23" l="1"/>
  <c r="G41" i="23" s="1"/>
  <c r="G39" i="17"/>
  <c r="G40" i="17" s="1"/>
  <c r="G44" i="16"/>
  <c r="G41" i="17" l="1"/>
  <c r="G42" i="17" s="1"/>
  <c r="G42" i="23"/>
  <c r="G43" i="23" s="1"/>
  <c r="G45" i="16"/>
  <c r="G46" i="16" s="1"/>
  <c r="G43" i="17" l="1"/>
  <c r="G44" i="17" s="1"/>
  <c r="G44" i="23"/>
  <c r="G45" i="23" s="1"/>
  <c r="G47" i="16"/>
  <c r="G48" i="16" s="1"/>
</calcChain>
</file>

<file path=xl/sharedStrings.xml><?xml version="1.0" encoding="utf-8"?>
<sst xmlns="http://schemas.openxmlformats.org/spreadsheetml/2006/main" count="1125" uniqueCount="348">
  <si>
    <t>Additional Costs Associated with Construction Projects</t>
  </si>
  <si>
    <t>Bicycle Facility Type</t>
  </si>
  <si>
    <t>Description</t>
  </si>
  <si>
    <t>Shared Lane</t>
  </si>
  <si>
    <t>A shared lane is represented by conditions where bicycle traffic shares a travel lane with motor vehicle traffic.  While a shared lane is not a dedicated bicycle facility, the tab accounts for shared lane markings, also known as sharrows, and related signage for ONE or BOTH travel directions.</t>
  </si>
  <si>
    <t xml:space="preserve">Bike Lane </t>
  </si>
  <si>
    <t>Bike Lane Curbside</t>
  </si>
  <si>
    <t>Bike Lane with Parking</t>
  </si>
  <si>
    <t xml:space="preserve">Buffered Bike Lane </t>
  </si>
  <si>
    <t>Buffer Bike Lane Curbside</t>
  </si>
  <si>
    <t>Protected Two-way Bike Lane</t>
  </si>
  <si>
    <t>Bicycle Boulevard/ Neighborhood Greenway</t>
  </si>
  <si>
    <t>Bike Boulevard</t>
  </si>
  <si>
    <t>Shared-use Paths/Paved Trails</t>
  </si>
  <si>
    <t>Shared-Use Paths</t>
  </si>
  <si>
    <t>Complete Streets Intersection Treatements</t>
  </si>
  <si>
    <t xml:space="preserve">A complete streets intersection is designed for the safety of all users, including pedestrians and bicyclists. This includes temporary treatments, traffic calming, bicycle treatments, and pedestrain safety benefits. </t>
  </si>
  <si>
    <t>MASTER LIST OF ITEMS</t>
  </si>
  <si>
    <t>Items</t>
  </si>
  <si>
    <t>Unit</t>
  </si>
  <si>
    <t>Dimensions</t>
  </si>
  <si>
    <t>Source for Unit Costs</t>
  </si>
  <si>
    <t>(if applicable)</t>
  </si>
  <si>
    <t>Maintenance of Traffic &amp; Mobilization</t>
  </si>
  <si>
    <t>Design &amp; Permitting</t>
  </si>
  <si>
    <t>Pavement Markings</t>
  </si>
  <si>
    <t xml:space="preserve"> </t>
  </si>
  <si>
    <t>Shared Lanes symbols</t>
  </si>
  <si>
    <t>Each</t>
  </si>
  <si>
    <t>Bike Lane symbols</t>
  </si>
  <si>
    <t>5" White Retroreflective Pavement Marking</t>
  </si>
  <si>
    <t>Linear Feet</t>
  </si>
  <si>
    <t>Page F-24 CEM for Inlaid Tape</t>
  </si>
  <si>
    <t>5" White Retroreflective Pavement Marking for Lane Lines (3' Buffer, 10' Spacing)</t>
  </si>
  <si>
    <t>5" Yellow Retroreflective Pavement Marking</t>
  </si>
  <si>
    <t>Green Thermoplastic Pavement Marking</t>
  </si>
  <si>
    <t>Square Foot</t>
  </si>
  <si>
    <t>Signs</t>
  </si>
  <si>
    <t>Per SF</t>
  </si>
  <si>
    <t>R3-17 (Bike Lane)</t>
  </si>
  <si>
    <t>24" x 18"</t>
  </si>
  <si>
    <t>Page F-25 CEM</t>
  </si>
  <si>
    <t>Rd-17aP (Bike Lane Ahead)</t>
  </si>
  <si>
    <t>24" x 8"</t>
  </si>
  <si>
    <t>Rd-17bP (Bike Lane Ends)</t>
  </si>
  <si>
    <t>R4-4 (Right Turn Yield to Bikes)</t>
  </si>
  <si>
    <t>36" x 30"</t>
  </si>
  <si>
    <t>R4-11 (Bikes May Use Full Lane)</t>
  </si>
  <si>
    <t>30" x 30"</t>
  </si>
  <si>
    <t>Wayfinding Signing</t>
  </si>
  <si>
    <t>Varies</t>
  </si>
  <si>
    <t>Separation</t>
  </si>
  <si>
    <t>Flex posts (10' spacing) for contraflow or additional lane</t>
  </si>
  <si>
    <t>Raised Concrete Median</t>
  </si>
  <si>
    <t>Signalization</t>
  </si>
  <si>
    <t>Per Crossing</t>
  </si>
  <si>
    <t>Traffic Calming Features</t>
  </si>
  <si>
    <t>Curb Extensions</t>
  </si>
  <si>
    <t>Per Intersection</t>
  </si>
  <si>
    <t>Landscaped Chicanes</t>
  </si>
  <si>
    <t>Raised Crosswalk</t>
  </si>
  <si>
    <t>Raised Intersection</t>
  </si>
  <si>
    <t>Mini-Roundabout</t>
  </si>
  <si>
    <t>Bicycle-friendly speed humps</t>
  </si>
  <si>
    <t>Additional Features</t>
  </si>
  <si>
    <t>Bicycle-friendly storm grates</t>
  </si>
  <si>
    <t>Structures</t>
  </si>
  <si>
    <t>Retaining Wall</t>
  </si>
  <si>
    <t>Bridge</t>
  </si>
  <si>
    <t>Pre-fabricated Bridge</t>
  </si>
  <si>
    <t>Tunnel</t>
  </si>
  <si>
    <t>Lighting</t>
  </si>
  <si>
    <t>Per Mile</t>
  </si>
  <si>
    <t>Page F-23 CEM</t>
  </si>
  <si>
    <t>Railroad Protection</t>
  </si>
  <si>
    <t>Quantity</t>
  </si>
  <si>
    <t>Length</t>
  </si>
  <si>
    <t>Miles</t>
  </si>
  <si>
    <t>Intersections</t>
  </si>
  <si>
    <t>Intersection Width (Avg)</t>
  </si>
  <si>
    <t>5" White Retroreflective Pavement Marking for 3' Buffer, 10' Spacing</t>
  </si>
  <si>
    <t>Green Pavement Marking</t>
  </si>
  <si>
    <t>Construction Subtotal</t>
  </si>
  <si>
    <t>Subtotal</t>
  </si>
  <si>
    <t>Contingency</t>
  </si>
  <si>
    <r>
      <rPr>
        <b/>
        <sz val="11"/>
        <color rgb="FF3F3F76"/>
        <rFont val="Calibri"/>
        <family val="2"/>
        <scheme val="minor"/>
      </rPr>
      <t>Instructions:</t>
    </r>
    <r>
      <rPr>
        <sz val="11"/>
        <color rgb="FF3F3F76"/>
        <rFont val="Calibri"/>
        <family val="2"/>
        <scheme val="minor"/>
      </rPr>
      <t xml:space="preserve"> </t>
    </r>
  </si>
  <si>
    <t>Planning Level Cost Estimates for 
Shared Lanes on Side of Roadway</t>
  </si>
  <si>
    <t>Enter quantities in colored cells. (Some cells may have additional information if you click on them.)</t>
  </si>
  <si>
    <t>Project Description</t>
  </si>
  <si>
    <t>Units</t>
  </si>
  <si>
    <t>Enter the length of the project in miles.  Linear feet automatically populates.</t>
  </si>
  <si>
    <t>Are shared lanes on one or both sides?</t>
  </si>
  <si>
    <t>BOTH</t>
  </si>
  <si>
    <t>Linear feet will auto populate.</t>
  </si>
  <si>
    <t>Enter the number of intersections in the project limits.</t>
  </si>
  <si>
    <t>Intersection Width (Average)</t>
  </si>
  <si>
    <t>Enter the average width of the intersection in the direction of travel.</t>
  </si>
  <si>
    <t>Unit Cost</t>
  </si>
  <si>
    <t>Total</t>
  </si>
  <si>
    <t>Shared Lanes Symbols</t>
  </si>
  <si>
    <t>Shared lane symbols are used every 250' and at intersections.  This automatically populates.</t>
  </si>
  <si>
    <t>Percentage of Subtotal</t>
  </si>
  <si>
    <t>Percentage of Construction Subtotal</t>
  </si>
  <si>
    <t>Construction Total</t>
  </si>
  <si>
    <t>Percentage of Construction Costs</t>
  </si>
  <si>
    <t>Total Project Costs for Design and Construction</t>
  </si>
  <si>
    <t>Planning Level Cost Estimates for 
Curb Side Bike Lane on Side of Roadway</t>
  </si>
  <si>
    <t>Are curb side bike lanes on one or both sides?</t>
  </si>
  <si>
    <t>Enter the average width of the intersection in the direction of travel</t>
  </si>
  <si>
    <t>Bike Lane Symbols</t>
  </si>
  <si>
    <t>LF automatically populated from Project Descriptions for 2 parallel white lines</t>
  </si>
  <si>
    <t>SF automatically populated from Project Description for 6' wide green markings across intersection width (plus 10' further on each side)</t>
  </si>
  <si>
    <t>Planning Level Cost Estimates for 
Bike Lane Against Parking Lane on Side of Roadway</t>
  </si>
  <si>
    <t>Planning Level Cost Estimates for 
Curb Side Buffered Bike Lane on Side of Roadway</t>
  </si>
  <si>
    <t>Length
(feet)</t>
  </si>
  <si>
    <t>Width (feet)</t>
  </si>
  <si>
    <t xml:space="preserve">  </t>
  </si>
  <si>
    <t>Enter project length in LF where flex posts will be located. Quantity and cost will auto populate.</t>
  </si>
  <si>
    <t>Concrete Planters (each, 6' length, 25' spacing)</t>
  </si>
  <si>
    <t>Enter project length in LF where planter will be located. Quantity and cost will auto populate.</t>
  </si>
  <si>
    <t>Planning Level Cost Estimates for 
Curb Side Protected Two-Way Bike Lane</t>
  </si>
  <si>
    <t>Traffic Calming and Additional Features</t>
  </si>
  <si>
    <t>Enter the quantity.  Cost will auto populate.</t>
  </si>
  <si>
    <t>Planning Level Cost Estimates for 
Bicycle Boulevard/Neighborhood Greenway Corridor Improvements</t>
  </si>
  <si>
    <t>Project Descriptions</t>
  </si>
  <si>
    <t>Contraflow Length</t>
  </si>
  <si>
    <t>Contraflow Intersections</t>
  </si>
  <si>
    <t>Flex posts (10' spacing) for additional use</t>
  </si>
  <si>
    <t>Enter quantity and cost will auto populate.</t>
  </si>
  <si>
    <t>Enter number of intersections and cost will auto populate.</t>
  </si>
  <si>
    <t>Planning Level Cost Estimates for 
Shared-use Path</t>
  </si>
  <si>
    <t>Facility Type</t>
  </si>
  <si>
    <t>Length (miles)</t>
  </si>
  <si>
    <t>Length (feet)</t>
  </si>
  <si>
    <t>Unit Cost
(per mile)</t>
  </si>
  <si>
    <t>Shared-use Path</t>
  </si>
  <si>
    <t>Retaining Walls</t>
  </si>
  <si>
    <t>Height (feet)</t>
  </si>
  <si>
    <t>Unit Cost (SF)</t>
  </si>
  <si>
    <t>Wall 1</t>
  </si>
  <si>
    <t>Wall 2</t>
  </si>
  <si>
    <t>Wall 3</t>
  </si>
  <si>
    <t>Bridges</t>
  </si>
  <si>
    <t>Bridge 1</t>
  </si>
  <si>
    <t xml:space="preserve">Bridge 2 </t>
  </si>
  <si>
    <t>Pre-fabricated Bridge 1</t>
  </si>
  <si>
    <t>Pre-fabricated Bridge 2</t>
  </si>
  <si>
    <t>Boardwalk</t>
  </si>
  <si>
    <t>Tunnels</t>
  </si>
  <si>
    <t>Tunnel 1</t>
  </si>
  <si>
    <t>Tunnel 2</t>
  </si>
  <si>
    <t># of Poles (both sides)</t>
  </si>
  <si>
    <t>Segment 1</t>
  </si>
  <si>
    <t>Segment 2</t>
  </si>
  <si>
    <t>Segment 3</t>
  </si>
  <si>
    <t>Railroad Protection Services</t>
  </si>
  <si>
    <r>
      <t xml:space="preserve">A bike lane can be separated from motor vehicle travel lanes by a striped buffer.  The buffer allows for additional roadway space between bicycle traffic and motor vehicle traffic.  Buffers are at least three-feet-wide and may have vertical delineators, such as flex posts, bollards or planters, to provide additional definition to the bicycle area of travel.  </t>
    </r>
    <r>
      <rPr>
        <sz val="11"/>
        <color theme="1"/>
        <rFont val="Calibri"/>
        <family val="2"/>
        <scheme val="minor"/>
      </rPr>
      <t xml:space="preserve">The buffer includes white parallel lines along both sides of it.  This tab accounts for buffered bike lane construction on ONE or BOTH sides of a roadway.  
</t>
    </r>
    <r>
      <rPr>
        <i/>
        <sz val="11"/>
        <color theme="1"/>
        <rFont val="Calibri"/>
        <family val="2"/>
        <scheme val="minor"/>
      </rPr>
      <t xml:space="preserve">While buffered bike lanes may be located between a row of on-street parking and a motor vehicle travel lane, this configuration allows motor vehicle traffic to encroach on the bicycle area of travel, thus reducing the safety of the bike facility.  Due to diminished safety, this estimator does not include calculations for buffered bike lanes between parked vehicles and motor vehicle travel lanes. </t>
    </r>
  </si>
  <si>
    <r>
      <t xml:space="preserve">LF automatically populated from Project Descriptions. </t>
    </r>
    <r>
      <rPr>
        <sz val="11"/>
        <color theme="1"/>
        <rFont val="Calibri"/>
        <family val="2"/>
        <scheme val="minor"/>
      </rPr>
      <t>Typically not needed for sharrow.</t>
    </r>
  </si>
  <si>
    <r>
      <t>A protected bike lane is bike lane that has a</t>
    </r>
    <r>
      <rPr>
        <b/>
        <sz val="11"/>
        <color theme="1"/>
        <rFont val="Calibri"/>
        <family val="2"/>
        <scheme val="minor"/>
      </rPr>
      <t xml:space="preserve"> physical barrier </t>
    </r>
    <r>
      <rPr>
        <sz val="11"/>
        <color theme="1"/>
        <rFont val="Calibri"/>
        <family val="2"/>
        <scheme val="minor"/>
      </rPr>
      <t xml:space="preserve">between the bike lane and motor vehicle travel lane. </t>
    </r>
    <r>
      <rPr>
        <i/>
        <sz val="11"/>
        <color theme="1"/>
        <rFont val="Calibri"/>
        <family val="2"/>
        <scheme val="minor"/>
      </rPr>
      <t xml:space="preserve"> For a single direction protected bike lane, </t>
    </r>
    <r>
      <rPr>
        <sz val="11"/>
        <color theme="1"/>
        <rFont val="Calibri"/>
        <family val="2"/>
        <scheme val="minor"/>
      </rPr>
      <t xml:space="preserve">use the BUFFER BIKE LANE CURBSIDE tab.  Use this tab for a </t>
    </r>
    <r>
      <rPr>
        <b/>
        <sz val="11"/>
        <color theme="1"/>
        <rFont val="Calibri"/>
        <family val="2"/>
        <scheme val="minor"/>
      </rPr>
      <t xml:space="preserve">two-way </t>
    </r>
    <r>
      <rPr>
        <sz val="11"/>
        <color theme="1"/>
        <rFont val="Calibri"/>
        <family val="2"/>
        <scheme val="minor"/>
      </rPr>
      <t xml:space="preserve">protected bike lane where two opposing direction bike lanes are located against the curb on one side of the roadway. </t>
    </r>
  </si>
  <si>
    <t>Protected Two-way Bike Lane or Cycletrack</t>
  </si>
  <si>
    <t>Flex posts (miscellaneous placement)</t>
  </si>
  <si>
    <t>Current Year =</t>
  </si>
  <si>
    <t>Annual Inflation Rate =</t>
  </si>
  <si>
    <t xml:space="preserve">Number of Years to Inflate Unit Costs = </t>
  </si>
  <si>
    <t>`</t>
  </si>
  <si>
    <t>Compounded Inflation =</t>
  </si>
  <si>
    <t>Original Year of Base Unit Cost =</t>
  </si>
  <si>
    <t>A bike lane is a 5-foot-wide area on the roadway delineated by two parallel white pavement markings.  Bike lanes can be against the curb or between a row of parked cars and a motor vehicle travel lane.  This tab can be used where the bike lane is against the curb, WITHOUT on-street parking, on ONE or BOTH sides of the street.  It assumes no roadway widening, only reallocating the existing pavement width.</t>
  </si>
  <si>
    <t>A bike lane is a 5-foot-wide area on the roadway delineated by two parallel white pavement markings.  Bike lanes can be against the curb or between a row of parked cars and a motor vehicle travel lane.  This tab can be used where the bike lane is against the curb, WITH on-street parking, on ONE or BOTH sides of the street.  It assumes no roadway widening, only reallocating the existing pavement width.</t>
  </si>
  <si>
    <t>** This estimate assumes no roadway widening, only reallocating the existing pavement width.  Must include some resurfacing where lane lines were ground off the asphalt surface.</t>
  </si>
  <si>
    <t>Shared lane symbols are used every 1/4 mile and at intersections.  This automatically populates. [MD Bicycle Policy &amp; Design Guidelines, Section 2.2]</t>
  </si>
  <si>
    <t>Complete Sts Intersection</t>
  </si>
  <si>
    <t>Planning Level Cost Estimates for 
Complete Streets Intersection</t>
  </si>
  <si>
    <t>Percentage of Subtotal of Costs</t>
  </si>
  <si>
    <t>25% assumes reasonable contingency for limited MOT. See Master List of Items.</t>
  </si>
  <si>
    <t>25% assumes minimal contingency for adding markings. See Master List of Items.</t>
  </si>
  <si>
    <t>Flex Posts (each, 10' spacing)</t>
  </si>
  <si>
    <t>Pedestrian Refuge Island</t>
  </si>
  <si>
    <t>Pedestrian Refuge Islands</t>
  </si>
  <si>
    <t>Contingency would likely be high when doing construction through a busy intersection.  See Master List of Items.</t>
  </si>
  <si>
    <t>Enter number of intersection crossings that require pedestrian signal heads on existing poles, but not full reconstruction or signal pole impacts.</t>
  </si>
  <si>
    <t>Enter number of intersection crossings that require separate small bicycle signals, assuming on own poles.</t>
  </si>
  <si>
    <t>Enter linear feet where dashed lane line markings are needed.  There is low likelihood of this item in an intersection.</t>
  </si>
  <si>
    <t>SHA Price Index Jan 2026. Item #549622. MD Standard #550.01.  9.0 SF for each. $33/SF</t>
  </si>
  <si>
    <t>SHA Price Index Jan 2026. Item #549624. MD Standard #550.01. 10.0 SF for symbol+arrow. $33/SF</t>
  </si>
  <si>
    <t>Per HCEM 2026, Page F-3.  Some judgement is necessary based on how much detail has been completed before cost estimate is prepared.
- New Start to Alternatives Meeting - 40% to 35%
- Alternatives Meeting to Last Cost-per-mile Estimate-35% to 30%
- 1st Detailed Estimate to Public Hearing - 35% to 30%
- Public Hearing to PI/30% Design - 30% to 25%</t>
  </si>
  <si>
    <t>Percentage of Construction Subtotal, including MOT-Mobilization</t>
  </si>
  <si>
    <t>Percentage of Construction Costs, including Contingency</t>
  </si>
  <si>
    <t xml:space="preserve">20% assumes reasonable contingency for design and permitting. See Master List of Items. </t>
  </si>
  <si>
    <t xml:space="preserve">20% assumes reasonable contingency for design, likely no permitting. See Master List of Items. </t>
  </si>
  <si>
    <t>Per HCEM 2026, Page A-2.  Some judgement is necessary for small facilities where design may be a higher percentage such as 20%, or for larger facilities that might have normal design percentage plus NEPA and permitting. 
- Design/Engineering - 17.6%</t>
  </si>
  <si>
    <t>25% assumes minimal contingency for repurposing roadway pavement area. See Master List of Items.</t>
  </si>
  <si>
    <t>30% assumes contingency for separated roadway pavement area. See Master List of Items.</t>
  </si>
  <si>
    <t>Contingency would likely be on high end when doing full new construction of path.  See Master List of Items.</t>
  </si>
  <si>
    <t>30% assumes contingency for separated roadway pavement area and traffic calming. See Master List of Items.</t>
  </si>
  <si>
    <t>** This estimate assumes no roadway widening, only pavement markings added to the existing asphalt surface.</t>
  </si>
  <si>
    <t>40% assumes reasonable contingency for MOT to stripe existing roadway. See Master List of Items.</t>
  </si>
  <si>
    <t>50% assumes reasonable contingency for MOT within existing roadway. See Master List of Items.</t>
  </si>
  <si>
    <t>40% assumes reasonable contingency for construction resources generally off existing roadway. See Master List of Items.</t>
  </si>
  <si>
    <t>65% assumes MOT would likely be high when doing construction through a busy intersection. See Master List of Items.</t>
  </si>
  <si>
    <t>Enter LF of new yellow pavement marking limits, if needed, and cost will auto populate.</t>
  </si>
  <si>
    <t>Enter LF of new dashed pavement marking limits, if needed, and cost will auto populate.</t>
  </si>
  <si>
    <t/>
  </si>
  <si>
    <t>Enter LF of new yellow pavement marking limits, if needed, and cost will auto populate. Typically, yellow striping not needed for lane next to parking</t>
  </si>
  <si>
    <t>Cost will auto populate based on length and number of intersections, quantity, SF, and unit cost</t>
  </si>
  <si>
    <t>RR Crossing Monitoring during Construction</t>
  </si>
  <si>
    <t>Fencing (6-feet tall) between RR and Path</t>
  </si>
  <si>
    <t>Fencing (6-feet tall) between Railroad and Path</t>
  </si>
  <si>
    <t xml:space="preserve">SHA Price Index Jan 2026. Item #690124. </t>
  </si>
  <si>
    <t>Each Crossing</t>
  </si>
  <si>
    <t>Each Location</t>
  </si>
  <si>
    <t xml:space="preserve">Are contraflow lanes part of the project? </t>
  </si>
  <si>
    <t>YES</t>
  </si>
  <si>
    <t>Does project include bike boulevard in same direction as traffic flow?</t>
  </si>
  <si>
    <t>Enter length of project where flex posts will be included.</t>
  </si>
  <si>
    <t>A bicycle boulevard, or neighborhood greenway, is a low-traffic-volume, low-traffic-speed roadway with minor roadway adjustments to improve bicycle access.  Typically, traffic calming features are applied to a residential corridor to reduce motor vehicle speed and access.  This tab includes a variety of traffic calming features that may be included, or excluded.  As most bicycle boulevards are on two-way residential roadways, this tab includes information that reflect those conditions; however, it also includes an option for a contraflow bicycle lane, where a double yellow line separates the contraflow bicycle lane.</t>
  </si>
  <si>
    <r>
      <t xml:space="preserve">See example photo for contraflow bike lane </t>
    </r>
    <r>
      <rPr>
        <b/>
        <sz val="11"/>
        <color theme="1"/>
        <rFont val="Wingdings"/>
        <charset val="2"/>
      </rPr>
      <t>à</t>
    </r>
  </si>
  <si>
    <r>
      <t>See example in photo for misc. placement of flex posts</t>
    </r>
    <r>
      <rPr>
        <b/>
        <sz val="11"/>
        <color theme="1"/>
        <rFont val="Wingdings"/>
        <charset val="2"/>
      </rPr>
      <t xml:space="preserve"> à</t>
    </r>
  </si>
  <si>
    <t xml:space="preserve">3. The cost estimating tool is incorporates quantity formulas based on the project specifics. Users only need to input data into the orange or blue fields (project length, the number of intersections and average intersction width) to calcuate many of the costs. </t>
  </si>
  <si>
    <t xml:space="preserve">4. As no two bicycle facilities are exactly alike, this tool is divided into bicycle facility types to allow for more accurate estimates. Each facility type is located on separate tabs. The below TABLE OF CONTENTS list varying bicycle facilities and descriptions to help identify the appropriate facility to use. </t>
  </si>
  <si>
    <t xml:space="preserve">5. Note that this estimator includes generalized costs for asphalt, concrete, grading, drainage improvements, limited utility relocation, pavement markings, signs and traffic signal adjustments. The estimate does not include construction management, special site remediation or the cost for ongoing maintenance. A cost range has been assigned to some general categories; however, these costs can vary widely depending on the exact details and nature of the work. The overall estimates are intended to be general and used for planning purposes. Construction costs will vary based on the ultimate project scope, implementation schedule, and economic conditions at the time of construction. </t>
  </si>
  <si>
    <t xml:space="preserve">1. In addition to design and construction costs, various costs are associated with capital project preparation. These costs include preparing environmental documentation, performing a hydrologic and hydraulic study and establishing easements or acquiring properties, identifying historic or cultural resources, endangered species or contaminated site remediation. </t>
  </si>
  <si>
    <t>2. For shared-use path projects that include lighting, coordination for the installation, maintenance, operation and expenditure needs to be coordinated among stakeholders. Metering and billing are critical items which need to be determined prior to the lighting design.</t>
  </si>
  <si>
    <t>Each Unit Cost</t>
  </si>
  <si>
    <t>Enter quantity of signs.  Cost will auto populate based on quantity and unit cost</t>
  </si>
  <si>
    <t>Cost will auto populate based on number of intersections, quantity and unit cost</t>
  </si>
  <si>
    <t>Dimensions (not used)</t>
  </si>
  <si>
    <t>varies</t>
  </si>
  <si>
    <t>Square Ft (not used)</t>
  </si>
  <si>
    <t>Square Footage (not used for cost)</t>
  </si>
  <si>
    <t>New Small Traffic Signals for Designated Bicycle Lane or Separate Facility (including heads, poles, push-buttons, wiring, conduit, new or upgraded controller)</t>
  </si>
  <si>
    <t>Portland, OR Study of Costs and FHWA Study. Inflated from 2013</t>
  </si>
  <si>
    <t>FHWA Study. Inflated from 2013.  Assume it is small to moderate sized intersection.</t>
  </si>
  <si>
    <t>This is wide range of costs. Local jurisdiction to choose cost based on how complicated new mini-roundabout would be. Low end is mini-roundabout on simple neighborhood street.  High end is larger or has more potential conflicts, but still falls predominently within the existing right-of-way.</t>
  </si>
  <si>
    <t>This has a wide range of potential costs from $80,000 to $250,000. Local jurisdiction should choose a cost based on how complicated a new mini-roundabout would be. Low end is mini-roundabout on simple neighborhood street.  High end is larger roundabout or has more potential conflicts, but still falls predominently within the existing right-of-way.</t>
  </si>
  <si>
    <t>Used FHWA Study from 2013 and VDOT's Bidtabs from 2025.</t>
  </si>
  <si>
    <t>Used 2022 CEM for SF cost of $260 for cast in place. [2026 CEM did not have SF cost]. Inflated to 2026.</t>
  </si>
  <si>
    <t>Per Pole</t>
  </si>
  <si>
    <t>Unit Cost
(Per Pole)</t>
  </si>
  <si>
    <t>Estimate $150-$350/SF for bridge and installation.</t>
  </si>
  <si>
    <t>New Pedestrian Signal Heads on Existing Signal Poles (including heads, push-buttons, accessible ped signals, wiring, conduit, new or upgraded controller)</t>
  </si>
  <si>
    <t>New Bicycle Signal Heads on Existing Signal Poles (incl. heads, wiring, conduit, new or upgraded controller)</t>
  </si>
  <si>
    <t>New Small Traffic Signals for Designated Bicycle Lane or Separate Facility (incl. heads, poles, push-buttons, wiring, conduit, new or upgraded controller)</t>
  </si>
  <si>
    <t>New Pedestrian Signal Heads on Existing Signal Poles (incl. heads, push-buttons, accessible ped signals, wiring, conduit, new/upgraded controller)</t>
  </si>
  <si>
    <t>Enter number of intersection crossings that require new bicycle signal heads, reconstruction, or partial new signal heads.</t>
  </si>
  <si>
    <t>Enter number of intersection crossings that require new bicycle signal heads on existing poles, reconstruction, or partial new signal heads.</t>
  </si>
  <si>
    <t>D11-1 (Bike Route)</t>
  </si>
  <si>
    <t>Assume larger, unique sign will cost more</t>
  </si>
  <si>
    <t>Shared Bus Boarding Areas/Islands - Concrete Island</t>
  </si>
  <si>
    <t>Shared Bus Boarding Areas/Islands - Modular Island</t>
  </si>
  <si>
    <t>LF of island (add length for adjacent ramps and tapers at ends)</t>
  </si>
  <si>
    <t>Cost is based on length. Assume 9' wide. Cost based on curb &amp; gutter $100/LF and sidewalk due to width $150/LF. Total = $250/LF PLUS $3300</t>
  </si>
  <si>
    <t>Enter length (LF) of shared bus boarding area/island plus tapers and adjacent ramps.  Cost is per LF plus $3300 for signs, detectible warning surface - will auto populate.</t>
  </si>
  <si>
    <t>Boardwalk (without railings, close to ground)</t>
  </si>
  <si>
    <t>(SHA 2026 Cost Estimating Manual [CEM])</t>
  </si>
  <si>
    <t>Assume 6' wide and 30' long.  Preferred width 8-10' and preferred length 40'. If 40-feet long, add $2000/EA.  If 10' wide, add $2000/EA.</t>
  </si>
  <si>
    <t>NCDOT TAP Cost Estimates inflated from 2024 to 2026</t>
  </si>
  <si>
    <t>Base Unit Cost for Year:</t>
  </si>
  <si>
    <t>Inflated Unit Cost to Year:</t>
  </si>
  <si>
    <t>Page F-24 for thermoplastic and unit cost from NCDOT TAP cost estimates</t>
  </si>
  <si>
    <t>$60,000 to $250,000</t>
  </si>
  <si>
    <t>Assume 30-35% higher than curb extensions due to landscaping. From NCDOT TAP Costs.</t>
  </si>
  <si>
    <r>
      <t xml:space="preserve">Enter number of intersections.  Enter unit cost in range of $60,000 to $250,000.  Total cost will auto populate.
</t>
    </r>
    <r>
      <rPr>
        <i/>
        <sz val="11"/>
        <color theme="1"/>
        <rFont val="Calibri"/>
        <family val="2"/>
        <scheme val="minor"/>
      </rPr>
      <t>Choose cost based on how complicated new mini-roundabout would be. Low end is mini-roundabout on simple neighborhood street.  High end is larger or has more potential conflicts, but still falls predominently within the existing right-of-way.</t>
    </r>
  </si>
  <si>
    <t>NCDOT TAP Cost Estimates and Portland, OR Study of Costs and FHWA Study. Inflated from 2013.</t>
  </si>
  <si>
    <t>SHA Price Index, multiple years.</t>
  </si>
  <si>
    <t>Enter length (LF) where concrete median will be located. Cost will auto populate.</t>
  </si>
  <si>
    <t>Raised Concrete Median (LF, assume 4' wide)</t>
  </si>
  <si>
    <t>Enter number of modular bus boarding areas.  Assumed size is 6'wide x 40'long, plus 6'x6' connector with 2 ramps, plus connections to sidewalk.</t>
  </si>
  <si>
    <t>Unit Cost 
(per Location)</t>
  </si>
  <si>
    <t>Contingencies and Additives</t>
  </si>
  <si>
    <t>Unit Cost
(Each)</t>
  </si>
  <si>
    <t>Select ONE or BOTH</t>
  </si>
  <si>
    <t>Select YES or NO</t>
  </si>
  <si>
    <t>This is typically percentage of categories 2, 4, 5, and 6 as follows: 
- 40% for construction completed under area-wide or IDIQ contract 
- 65% for project being advertised as stand-alone contract
- Some judgement is necessary because quantities are for traffic-related items and not 2, 4, 5, and 6  
- Judgement also necessary for facilities that have limited interactions with roadway lanes. HCEM 2026, page F-14</t>
  </si>
  <si>
    <t>VDOT's bid tabs for 2025-026.</t>
  </si>
  <si>
    <t>Concrete Planters (approx. 6' length, 25' spacing)</t>
  </si>
  <si>
    <t>Pavement Resurfacing</t>
  </si>
  <si>
    <t>Square Yard</t>
  </si>
  <si>
    <t>Width
(feet)</t>
  </si>
  <si>
    <t>Ton</t>
  </si>
  <si>
    <t>Milling of Hot Mix Asphalt Surface (up to 1")</t>
  </si>
  <si>
    <t>Resurface 1" Hot Mix Asphalt for Roadway</t>
  </si>
  <si>
    <t>Enter length and width in FEET of resurfacing area (generally the same as the Milling area).  Cost is calculated per ton and conversion will automatically occur in total.</t>
  </si>
  <si>
    <t>Enter length and width in FEET of milling/grinding area.  Cost is calculated per square yard and conversion will automatically occur in total.</t>
  </si>
  <si>
    <t>Milling of Asphalt Pavement (up to 1")</t>
  </si>
  <si>
    <t xml:space="preserve">SHA Price Index Jan 2026. Item #508012 or #508017. MD Standard #508.  </t>
  </si>
  <si>
    <t>SHA Price Index Jan 2026. Item #508010 or #508012.  MD Standard 508</t>
  </si>
  <si>
    <t xml:space="preserve">SHA Price Index Jan 2026. Item #504500. </t>
  </si>
  <si>
    <t>Fine/Micro Milling Existing Pavement Markings Only (no resurfacing)</t>
  </si>
  <si>
    <t>Enter length and width in FEET of milling/grinding area for JUST THE PAVEMENT MARKINGS.  Cost is calculated per square yard and conversion will automatically occur in total.</t>
  </si>
  <si>
    <t xml:space="preserve">Used SHA Standard Wheel Stops, #634415. They are 7 feet long so cost was prorated for 10-foot length and increased for non-standard item. </t>
  </si>
  <si>
    <t>Low profile, pre-fab concrete barrier (10' length). Either continuous or spaced 10' apart</t>
  </si>
  <si>
    <t>(assume space between is not included in length)</t>
  </si>
  <si>
    <t>Enter project length in LF where concrete barrier will be located. If barriers are spaced 10' apart, divide total length in half. Cost will auto populate.</t>
  </si>
  <si>
    <t>Shared Use Path</t>
  </si>
  <si>
    <t>Shared Use Path (10' wide)</t>
  </si>
  <si>
    <t>VDOT Table for SUPs and comparison with trail in NH.</t>
  </si>
  <si>
    <t>Enter the length in miles of the shared-use path.</t>
  </si>
  <si>
    <t>Questions regarding the environment that affect the unit cost:</t>
  </si>
  <si>
    <t>Will path have LOW or HIGH environmental impacts?</t>
  </si>
  <si>
    <t>Will the path have pervious or permeable pavement?</t>
  </si>
  <si>
    <t>Will path have LOW or HIGH barriers, constraints, or other impacts?</t>
  </si>
  <si>
    <t>HIGH</t>
  </si>
  <si>
    <t>Subtotal of path, taking into consideration surrounding environment =</t>
  </si>
  <si>
    <t>Select LOW or HIGH for environmental impacts.  Cost will be increased by 20% if HIGH impacts.</t>
  </si>
  <si>
    <t>Select YES or NO for pervious pavement.  Pervious pavement is more expensive than regular pavement.  Cost will be increased by 50% if YES.</t>
  </si>
  <si>
    <t>Select LOW or HIGH for surrounding constraints.  Cost will be increased by 30% if HIGH.</t>
  </si>
  <si>
    <t>Select ONE or BOTH sides of the roadway relative to location</t>
  </si>
  <si>
    <t>Select ONE or BOTH sides of the roadway relative to location.</t>
  </si>
  <si>
    <t>LF automatically populated from Project Descriptions for 2 parallel white lines.</t>
  </si>
  <si>
    <t>Select YES or NO regarding direction of bicycle travel.</t>
  </si>
  <si>
    <t>Enter length of contraflow lane.</t>
  </si>
  <si>
    <t>Enter number of intersections that contraflow lane crosses.</t>
  </si>
  <si>
    <t>Shared lane symbols are used every 1/4 mile and at intersections.  This automatically populates. [MD Bicycle Policy &amp; Design Guidelines, Section 2.2].</t>
  </si>
  <si>
    <t>LF automatically populated from Project Descriptions for contraflow lanes - includes double yellow stripe.</t>
  </si>
  <si>
    <t>SF automatically populated from Project Description for 6' wide green markings across intersection width (plus 10' further on each side).</t>
  </si>
  <si>
    <t>Enter quantity of signs.  Cost will auto populate based on quantity and unit cost.</t>
  </si>
  <si>
    <t>Cost will auto populate based on number of intersections, quantity and unit cost.</t>
  </si>
  <si>
    <t>Assume retaining walls are 6-feet tall.  Enter length and cost will auto populate.</t>
  </si>
  <si>
    <t>Assume tunnel is 14' wide plus 1-foot for width of walls (x2 for both sides).</t>
  </si>
  <si>
    <t>Assume poles are spaced 75 feet apart and are on both sides of shared use path (# poles doubled).  Enter length of path where lighting proposed, then # poles and cost auto populate.</t>
  </si>
  <si>
    <t>Enter length where fencing is proposed.</t>
  </si>
  <si>
    <t>Enter number of locations where path crosses railroad.</t>
  </si>
  <si>
    <t>Cost will auto populate based on number of intersections, assuming 4 signs per intersection.</t>
  </si>
  <si>
    <t>** This estimate assumes no roadway widening, only reallocating the existing pavement width.  Typically, it includes converting a travel lane to a bike lane or other similar pavement repurposing.  May include some resurfacing where lane lines would be ground off to reallocate width.</t>
  </si>
  <si>
    <t>Boardwalk (with railings)</t>
  </si>
  <si>
    <t>Enter length.  Width calculated by assuming trail is 12' wide plus 0.5 foot for width of parapet (x2 for both sides).  Say 13 feet wide.</t>
  </si>
  <si>
    <t>Enter length.  Width calculated assuming trail is 12' wide plus 1-foot offset to barrier plus and 1.5 feet for width of parapet (x2 for both sides)</t>
  </si>
  <si>
    <t xml:space="preserve">The bicycle project cost estimator is designed to be an 'easy to use' tool.  Users enter a few parameters for the intended project and the tool calculates costs based on construction costs and assumed contingencies for design and construction.  These INSTRUCTIONS provide basic steps on how to use the tool.  Additional guidance is provided in each tabs. </t>
  </si>
  <si>
    <t>1. Review the Introduction and the Table of Contents. Select the type of bikeway that is most similar to your project and go to that spreadsheet tab to estimate the cost of your project.</t>
  </si>
  <si>
    <t>3. ONLY fill in the orange or blue cells.  The other cells will auto-populate and auto-calculate.</t>
  </si>
  <si>
    <t>4. The tab named 'Master List of Items' provides the costs for the current year and those costs automatically link to the unit costs in each bikeway tab.  It provides a little more detail on how the unit costs were chosen. In general, do not change these unit costs.  However, if you have a non-standard item, this may provide some details on the unit costs so you can prorate them for your project.</t>
  </si>
  <si>
    <r>
      <t>1. Enter the Original Year of the Base Unit Costs and the Current Year.  The number of years to inflate will auto populate. (</t>
    </r>
    <r>
      <rPr>
        <b/>
        <sz val="11"/>
        <color rgb="FFC00000"/>
        <rFont val="Calibri"/>
        <family val="2"/>
        <scheme val="minor"/>
      </rPr>
      <t>RED NUMBERS</t>
    </r>
    <r>
      <rPr>
        <sz val="11"/>
        <color theme="1"/>
        <rFont val="Calibri"/>
        <family val="2"/>
        <scheme val="minor"/>
      </rPr>
      <t xml:space="preserve"> in table below)
2. Enter the average annual inflation rate over the past few years.  (</t>
    </r>
    <r>
      <rPr>
        <b/>
        <sz val="11"/>
        <color rgb="FFC00000"/>
        <rFont val="Calibri"/>
        <family val="2"/>
        <scheme val="minor"/>
      </rPr>
      <t>RED NUMBERS</t>
    </r>
    <r>
      <rPr>
        <sz val="11"/>
        <color theme="1"/>
        <rFont val="Calibri"/>
        <family val="2"/>
        <scheme val="minor"/>
      </rPr>
      <t xml:space="preserve"> in table below)
3. The compounded inflation rate will automatically calculate and be applied to the Base Unit Costs to obtain the Inflated Unit Costs in the table below.
4. The inflated unit costs will automatically update throughout the spreadsheet tabs.
5. Enter the Unit Costs for the Base Year - only enter costs in the </t>
    </r>
    <r>
      <rPr>
        <b/>
        <sz val="11"/>
        <color theme="5" tint="-0.249977111117893"/>
        <rFont val="Calibri"/>
        <family val="2"/>
        <scheme val="minor"/>
      </rPr>
      <t>ORANGE</t>
    </r>
    <r>
      <rPr>
        <sz val="11"/>
        <color theme="1"/>
        <rFont val="Calibri"/>
        <family val="2"/>
        <scheme val="minor"/>
      </rPr>
      <t xml:space="preserve"> cells.</t>
    </r>
  </si>
  <si>
    <t>Introduction for Planning Level Cost Estimating Tool 
for Bicycle Infrastructure Projects</t>
  </si>
  <si>
    <t>Instructions for Planning Level Cost Estimating Tool 
for Bicycle Infrastructure Projects</t>
  </si>
  <si>
    <t>Table of Contents
Planning Level Cost Estimating Tool for Bicycle Infrastructure Projects</t>
  </si>
  <si>
    <t>Directions for Updating Unit Costs Annually for Inflation</t>
  </si>
  <si>
    <t>Tab Name</t>
  </si>
  <si>
    <t>New or replacement steel girders carrying 1 road over another road. Because this is full roadway bridge, CEM cost reduced by 10%. Page F-17 CEM.</t>
  </si>
  <si>
    <t>Dimensions (not used for cost)</t>
  </si>
  <si>
    <t xml:space="preserve">2. Each spreadsheet tab has Instructions on the right side of the cost table.  The instructions will explain what to fill in and how the costs are calculated automatically for each row.  </t>
  </si>
  <si>
    <t>5. The contingencies for Maintenance of Traffic/Mobilization, Construction, and Design/Permitting have been predetermined for each type of bikeway using engineering judgement.  MDOT does not recommend reducing these contingencies; however, they could be increased if the complexity of the project warrants it.</t>
  </si>
  <si>
    <t xml:space="preserve">A shared-use path is a two-way, hard surface trail that can be used by both bicyclists and pedestrians.  Most shared-use paths have an independent alignment and include most construction items associated with new roadway construction. </t>
  </si>
  <si>
    <t xml:space="preserve">1. This planning level cost estimating tool was initially developed by the Maryland Department of Transportation and the Baltimore Regional Transportation Board's Bicycle and Pedestrian Advisory Group. The purpose of this estimator is to provide guidance to local jurisdictions on project design and construction costs associated with bicycle infrastructure. Cost estimates within this tool are developed by identifying pay items and establishing generalized quantities. This tool aims to cover a wide range of possible expenses that are typically incurred with bicycle projects, but cannot account for all possible items. To account for increased costs as design progresses, a 30% contingency is included to allow for items not yet designed. The cost estimator is also provided as a general planning tool to compare costs from planning, develpoment and engineering professionals. </t>
  </si>
  <si>
    <t>Estimated cost based on sample brand of modular island for 6'widx40'long boarding area, 6'x6' connection for ramp, 2 ramps, short connection to sdwk.</t>
  </si>
  <si>
    <t>3. Planning level cost estimates aim to cover a wide range of possible expenses that are typically incurred with projects, but cannot account for all possible items. The cost estimator is also provided as a general planning tool to compare costs from planning, development and engineering professionals.</t>
  </si>
  <si>
    <t>2. The cost estimating tool is based on American Association of State Highway Transportation Officials (AASHTO) and Maryland Manual of Uniformed Traffic Control Devices (MDMUTCD) standards for facility design, pavement markings, sign placement and other standards. The standards are incorporated into quantity calculations based on the project length and other user preferences. Cost sources are provided in the MASTER LIST OF ITEMS whenever possible.</t>
  </si>
  <si>
    <r>
      <t xml:space="preserve">Updated: </t>
    </r>
    <r>
      <rPr>
        <sz val="11"/>
        <color theme="1"/>
        <rFont val="Calibri"/>
        <family val="2"/>
        <scheme val="minor"/>
      </rPr>
      <t>August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</si>
</sst>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quot;$&quot;#,##0.00"/>
    <numFmt numFmtId="165" formatCode="&quot;$&quot;#,##0"/>
    <numFmt numFmtId="166" formatCode="#,##0.0"/>
    <numFmt numFmtId="167" formatCode="0.000"/>
    <numFmt numFmtId="168" formatCode="0.0"/>
    <numFmt numFmtId="169" formatCode="#,##0.000"/>
  </numFmts>
  <fonts count="37"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2"/>
      <color theme="0"/>
      <name val="Calibri"/>
      <family val="2"/>
      <scheme val="minor"/>
    </font>
    <font>
      <b/>
      <sz val="12"/>
      <name val="Calibri"/>
      <family val="2"/>
      <scheme val="minor"/>
    </font>
    <font>
      <sz val="11"/>
      <name val="Calibri"/>
      <family val="2"/>
      <scheme val="minor"/>
    </font>
    <font>
      <sz val="12"/>
      <name val="Calibri"/>
      <family val="2"/>
      <scheme val="minor"/>
    </font>
    <font>
      <i/>
      <sz val="11"/>
      <name val="Calibri"/>
      <family val="2"/>
      <scheme val="minor"/>
    </font>
    <font>
      <sz val="11"/>
      <color theme="0" tint="-0.34998626667073579"/>
      <name val="Calibri"/>
      <family val="2"/>
      <scheme val="minor"/>
    </font>
    <font>
      <b/>
      <sz val="16"/>
      <color theme="0"/>
      <name val="Calibri"/>
      <family val="2"/>
      <scheme val="minor"/>
    </font>
    <font>
      <sz val="11"/>
      <color rgb="FF3F3F76"/>
      <name val="Calibri"/>
      <family val="2"/>
      <scheme val="minor"/>
    </font>
    <font>
      <sz val="8"/>
      <name val="Calibri"/>
      <family val="2"/>
      <scheme val="minor"/>
    </font>
    <font>
      <i/>
      <sz val="11"/>
      <color theme="1"/>
      <name val="Calibri"/>
      <family val="2"/>
      <scheme val="minor"/>
    </font>
    <font>
      <sz val="9"/>
      <color theme="1"/>
      <name val="Calibri"/>
      <family val="2"/>
      <scheme val="minor"/>
    </font>
    <font>
      <b/>
      <sz val="11"/>
      <color rgb="FFFF0000"/>
      <name val="Calibri"/>
      <family val="2"/>
      <scheme val="minor"/>
    </font>
    <font>
      <sz val="11"/>
      <color theme="1"/>
      <name val="Calibri"/>
      <family val="2"/>
      <scheme val="minor"/>
    </font>
    <font>
      <sz val="9"/>
      <color rgb="FFFF0000"/>
      <name val="Calibri"/>
      <family val="2"/>
      <scheme val="minor"/>
    </font>
    <font>
      <sz val="14"/>
      <name val="Calibri"/>
      <family val="2"/>
      <scheme val="minor"/>
    </font>
    <font>
      <sz val="14"/>
      <color rgb="FF3F3F76"/>
      <name val="Calibri"/>
      <family val="2"/>
      <scheme val="minor"/>
    </font>
    <font>
      <b/>
      <sz val="11"/>
      <color rgb="FF3F3F76"/>
      <name val="Calibri"/>
      <family val="2"/>
      <scheme val="minor"/>
    </font>
    <font>
      <sz val="10"/>
      <color theme="1"/>
      <name val="Calibri"/>
      <family val="2"/>
      <scheme val="minor"/>
    </font>
    <font>
      <b/>
      <sz val="11"/>
      <color rgb="FFC00000"/>
      <name val="Calibri"/>
      <family val="2"/>
      <scheme val="minor"/>
    </font>
    <font>
      <sz val="11"/>
      <color rgb="FFFF0000"/>
      <name val="Calibri"/>
      <family val="2"/>
      <scheme val="minor"/>
    </font>
    <font>
      <sz val="11"/>
      <color rgb="FF0070C0"/>
      <name val="Calibri"/>
      <family val="2"/>
      <scheme val="minor"/>
    </font>
    <font>
      <b/>
      <sz val="10"/>
      <color rgb="FFFF0000"/>
      <name val="Calibri"/>
      <family val="2"/>
      <scheme val="minor"/>
    </font>
    <font>
      <b/>
      <sz val="11"/>
      <color theme="5" tint="-0.249977111117893"/>
      <name val="Calibri"/>
      <family val="2"/>
      <scheme val="minor"/>
    </font>
    <font>
      <b/>
      <sz val="20"/>
      <color theme="1"/>
      <name val="Calibri"/>
      <family val="2"/>
      <scheme val="minor"/>
    </font>
    <font>
      <b/>
      <sz val="14"/>
      <color theme="5" tint="-0.249977111117893"/>
      <name val="Calibri"/>
      <family val="2"/>
      <scheme val="minor"/>
    </font>
    <font>
      <sz val="11"/>
      <color theme="1"/>
      <name val="Wingdings"/>
      <charset val="2"/>
    </font>
    <font>
      <b/>
      <sz val="11"/>
      <color theme="1"/>
      <name val="Wingdings"/>
      <charset val="2"/>
    </font>
    <font>
      <b/>
      <sz val="16"/>
      <color theme="1"/>
      <name val="Calibri"/>
      <family val="2"/>
      <scheme val="minor"/>
    </font>
    <font>
      <b/>
      <i/>
      <sz val="11"/>
      <name val="Calibri"/>
      <family val="2"/>
      <scheme val="minor"/>
    </font>
    <font>
      <b/>
      <sz val="11"/>
      <color rgb="FFB90000"/>
      <name val="Calibri"/>
      <family val="2"/>
      <scheme val="minor"/>
    </font>
    <font>
      <sz val="11"/>
      <color theme="5" tint="-0.499984740745262"/>
      <name val="Calibri"/>
      <family val="2"/>
      <scheme val="minor"/>
    </font>
    <font>
      <sz val="11"/>
      <color rgb="FFA20000"/>
      <name val="Calibri"/>
      <family val="2"/>
      <scheme val="minor"/>
    </font>
  </fonts>
  <fills count="10">
    <fill>
      <patternFill patternType="none"/>
    </fill>
    <fill>
      <patternFill patternType="gray125"/>
    </fill>
    <fill>
      <patternFill patternType="solid">
        <fgColor theme="0" tint="-0.499984740745262"/>
        <bgColor indexed="64"/>
      </patternFill>
    </fill>
    <fill>
      <patternFill patternType="solid">
        <fgColor rgb="FFFFCC99"/>
      </patternFill>
    </fill>
    <fill>
      <patternFill patternType="solid">
        <fgColor theme="1" tint="0.34998626667073579"/>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59">
    <border>
      <left/>
      <right/>
      <top/>
      <bottom/>
      <diagonal/>
    </border>
    <border>
      <left/>
      <right/>
      <top/>
      <bottom style="thin">
        <color theme="0" tint="-4.9989318521683403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theme="0"/>
      </bottom>
      <diagonal/>
    </border>
    <border>
      <left style="medium">
        <color indexed="64"/>
      </left>
      <right/>
      <top/>
      <bottom style="thin">
        <color theme="0" tint="-4.9989318521683403E-2"/>
      </bottom>
      <diagonal/>
    </border>
    <border>
      <left style="medium">
        <color indexed="64"/>
      </left>
      <right/>
      <top style="medium">
        <color indexed="64"/>
      </top>
      <bottom style="thin">
        <color theme="0" tint="-4.9989318521683403E-2"/>
      </bottom>
      <diagonal/>
    </border>
    <border>
      <left/>
      <right/>
      <top style="medium">
        <color indexed="64"/>
      </top>
      <bottom style="thin">
        <color theme="0" tint="-4.9989318521683403E-2"/>
      </bottom>
      <diagonal/>
    </border>
    <border>
      <left/>
      <right/>
      <top style="thin">
        <color indexed="64"/>
      </top>
      <bottom/>
      <diagonal/>
    </border>
    <border>
      <left/>
      <right/>
      <top/>
      <bottom style="thin">
        <color theme="0"/>
      </bottom>
      <diagonal/>
    </border>
    <border>
      <left/>
      <right/>
      <top style="thin">
        <color indexed="64"/>
      </top>
      <bottom style="thin">
        <color indexed="64"/>
      </bottom>
      <diagonal/>
    </border>
    <border>
      <left style="medium">
        <color indexed="64"/>
      </left>
      <right/>
      <top/>
      <bottom style="thin">
        <color theme="0" tint="-0.249977111117893"/>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7F7F7F"/>
      </top>
      <bottom style="thin">
        <color rgb="FF7F7F7F"/>
      </bottom>
      <diagonal/>
    </border>
    <border>
      <left style="medium">
        <color indexed="64"/>
      </left>
      <right style="thin">
        <color rgb="FF7F7F7F"/>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theme="0" tint="-4.9989318521683403E-2"/>
      </bottom>
      <diagonal/>
    </border>
    <border>
      <left style="thin">
        <color rgb="FF7F7F7F"/>
      </left>
      <right/>
      <top style="thin">
        <color rgb="FF7F7F7F"/>
      </top>
      <bottom style="thin">
        <color rgb="FF7F7F7F"/>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7F7F7F"/>
      </left>
      <right/>
      <top/>
      <bottom/>
      <diagonal/>
    </border>
    <border>
      <left style="medium">
        <color indexed="64"/>
      </left>
      <right style="medium">
        <color indexed="64"/>
      </right>
      <top/>
      <bottom style="thin">
        <color indexed="64"/>
      </bottom>
      <diagonal/>
    </border>
    <border>
      <left/>
      <right style="thin">
        <color rgb="FF7F7F7F"/>
      </right>
      <top/>
      <bottom/>
      <diagonal/>
    </border>
  </borders>
  <cellStyleXfs count="4">
    <xf numFmtId="0" fontId="0" fillId="0" borderId="0"/>
    <xf numFmtId="0" fontId="12" fillId="3" borderId="19" applyNumberFormat="0" applyAlignment="0" applyProtection="0"/>
    <xf numFmtId="9" fontId="17" fillId="0" borderId="0" applyFont="0" applyFill="0" applyBorder="0" applyAlignment="0" applyProtection="0"/>
    <xf numFmtId="43" fontId="17" fillId="0" borderId="0" applyFont="0" applyFill="0" applyBorder="0" applyAlignment="0" applyProtection="0"/>
  </cellStyleXfs>
  <cellXfs count="341">
    <xf numFmtId="0" fontId="0" fillId="0" borderId="0" xfId="0"/>
    <xf numFmtId="0" fontId="0" fillId="0" borderId="0" xfId="0" applyAlignment="1">
      <alignment vertical="center" wrapText="1"/>
    </xf>
    <xf numFmtId="0" fontId="0" fillId="0" borderId="0" xfId="0" applyAlignment="1">
      <alignment horizontal="center" vertical="center" wrapText="1"/>
    </xf>
    <xf numFmtId="1" fontId="0" fillId="0" borderId="0" xfId="0" applyNumberFormat="1" applyAlignment="1">
      <alignment horizontal="center" vertical="center" wrapText="1"/>
    </xf>
    <xf numFmtId="2" fontId="0" fillId="0" borderId="0" xfId="0" applyNumberFormat="1" applyAlignment="1">
      <alignment horizontal="center" vertical="center" wrapText="1"/>
    </xf>
    <xf numFmtId="2" fontId="0" fillId="0" borderId="0" xfId="0" applyNumberFormat="1" applyAlignment="1">
      <alignment horizontal="left" vertical="center" wrapText="1"/>
    </xf>
    <xf numFmtId="2" fontId="2" fillId="0" borderId="0" xfId="0" applyNumberFormat="1" applyFont="1" applyAlignment="1">
      <alignment horizontal="left" vertical="center" wrapText="1"/>
    </xf>
    <xf numFmtId="165" fontId="0" fillId="0" borderId="0" xfId="0" applyNumberFormat="1" applyAlignment="1">
      <alignment horizontal="center" vertical="center" wrapText="1"/>
    </xf>
    <xf numFmtId="164" fontId="0" fillId="0" borderId="0" xfId="0" applyNumberFormat="1"/>
    <xf numFmtId="165" fontId="0" fillId="0" borderId="0" xfId="0" applyNumberFormat="1"/>
    <xf numFmtId="0" fontId="0" fillId="0" borderId="0" xfId="0" quotePrefix="1" applyAlignment="1">
      <alignment horizontal="left" vertical="top"/>
    </xf>
    <xf numFmtId="0" fontId="7" fillId="0" borderId="0" xfId="0" applyFont="1"/>
    <xf numFmtId="0" fontId="6" fillId="0" borderId="0" xfId="0" applyFont="1" applyAlignment="1">
      <alignment horizontal="left" vertical="center" wrapText="1"/>
    </xf>
    <xf numFmtId="0" fontId="0" fillId="0" borderId="6" xfId="0" applyBorder="1" applyAlignment="1">
      <alignment vertical="center" wrapText="1"/>
    </xf>
    <xf numFmtId="165" fontId="2" fillId="0" borderId="0" xfId="0" applyNumberFormat="1" applyFont="1" applyAlignment="1">
      <alignment horizontal="center" vertical="center" wrapText="1"/>
    </xf>
    <xf numFmtId="3" fontId="0" fillId="0" borderId="0" xfId="0" applyNumberFormat="1" applyAlignment="1">
      <alignment horizontal="center" vertical="center" wrapText="1"/>
    </xf>
    <xf numFmtId="0" fontId="8" fillId="0" borderId="0" xfId="0" applyFont="1" applyAlignment="1">
      <alignment vertical="center" wrapText="1"/>
    </xf>
    <xf numFmtId="165"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left" vertical="center" wrapText="1"/>
    </xf>
    <xf numFmtId="3" fontId="8" fillId="0" borderId="0" xfId="0" applyNumberFormat="1" applyFont="1" applyAlignment="1">
      <alignment horizontal="center" vertical="center" wrapText="1"/>
    </xf>
    <xf numFmtId="165" fontId="8" fillId="0" borderId="6" xfId="0" applyNumberFormat="1" applyFont="1" applyBorder="1" applyAlignment="1">
      <alignment horizontal="center" vertical="center" wrapText="1"/>
    </xf>
    <xf numFmtId="0" fontId="7" fillId="0" borderId="5" xfId="0" applyFont="1" applyBorder="1" applyAlignment="1">
      <alignment vertical="center" wrapText="1"/>
    </xf>
    <xf numFmtId="0" fontId="7" fillId="0" borderId="5" xfId="0" quotePrefix="1" applyFont="1" applyBorder="1" applyAlignment="1">
      <alignment horizontal="left" vertical="center"/>
    </xf>
    <xf numFmtId="0" fontId="0" fillId="0" borderId="0" xfId="0" quotePrefix="1" applyAlignment="1">
      <alignment horizontal="left" vertical="center"/>
    </xf>
    <xf numFmtId="0" fontId="0" fillId="0" borderId="0" xfId="0" quotePrefix="1" applyAlignment="1">
      <alignment horizontal="center" vertical="center"/>
    </xf>
    <xf numFmtId="165" fontId="0" fillId="0" borderId="0" xfId="0" quotePrefix="1" applyNumberFormat="1" applyAlignment="1">
      <alignment horizontal="center" vertical="center"/>
    </xf>
    <xf numFmtId="165" fontId="0" fillId="0" borderId="6" xfId="0" quotePrefix="1" applyNumberFormat="1" applyBorder="1" applyAlignment="1">
      <alignment horizontal="center" vertical="center"/>
    </xf>
    <xf numFmtId="0" fontId="0" fillId="0" borderId="5" xfId="0" applyBorder="1" applyAlignment="1">
      <alignment vertical="center" wrapText="1"/>
    </xf>
    <xf numFmtId="165" fontId="0" fillId="0" borderId="6" xfId="0" applyNumberFormat="1" applyBorder="1" applyAlignment="1">
      <alignment horizontal="center" vertical="center" wrapText="1"/>
    </xf>
    <xf numFmtId="0" fontId="4" fillId="0" borderId="0" xfId="0" applyFont="1" applyAlignment="1">
      <alignment vertical="center" wrapText="1"/>
    </xf>
    <xf numFmtId="0" fontId="4" fillId="0" borderId="15" xfId="0" applyFont="1" applyBorder="1" applyAlignment="1">
      <alignment vertical="center" wrapText="1"/>
    </xf>
    <xf numFmtId="0" fontId="7" fillId="0" borderId="11" xfId="0" applyFont="1" applyBorder="1" applyAlignment="1">
      <alignment horizontal="left" vertical="center" wrapText="1"/>
    </xf>
    <xf numFmtId="3" fontId="0" fillId="0" borderId="0" xfId="0" quotePrefix="1" applyNumberFormat="1" applyAlignment="1">
      <alignment horizontal="center" vertical="center"/>
    </xf>
    <xf numFmtId="0" fontId="0" fillId="0" borderId="0" xfId="0" quotePrefix="1" applyAlignment="1">
      <alignment horizontal="center" vertical="center" wrapText="1"/>
    </xf>
    <xf numFmtId="1" fontId="0" fillId="0" borderId="17" xfId="0" applyNumberFormat="1" applyBorder="1" applyAlignment="1">
      <alignment horizontal="left" vertical="center" wrapText="1"/>
    </xf>
    <xf numFmtId="2" fontId="0" fillId="0" borderId="0" xfId="0" applyNumberFormat="1" applyAlignment="1">
      <alignment horizontal="left" vertical="center"/>
    </xf>
    <xf numFmtId="2" fontId="0" fillId="0" borderId="0" xfId="0" applyNumberFormat="1" applyAlignment="1">
      <alignment vertical="center" wrapText="1"/>
    </xf>
    <xf numFmtId="0" fontId="2" fillId="0" borderId="0" xfId="0" applyFont="1"/>
    <xf numFmtId="0" fontId="8" fillId="0" borderId="0" xfId="0" applyFont="1" applyAlignment="1">
      <alignment horizontal="left" vertical="center" wrapText="1"/>
    </xf>
    <xf numFmtId="0" fontId="2" fillId="0" borderId="0" xfId="0" quotePrefix="1" applyFont="1" applyAlignment="1">
      <alignment horizontal="left" vertical="top"/>
    </xf>
    <xf numFmtId="2" fontId="2" fillId="0" borderId="0" xfId="0" applyNumberFormat="1" applyFont="1" applyAlignment="1">
      <alignment horizontal="left" vertical="center"/>
    </xf>
    <xf numFmtId="0" fontId="0" fillId="0" borderId="0" xfId="0" applyAlignment="1">
      <alignment wrapText="1"/>
    </xf>
    <xf numFmtId="0" fontId="11" fillId="0" borderId="10" xfId="0" applyFont="1" applyBorder="1" applyAlignment="1">
      <alignment vertical="center" wrapText="1"/>
    </xf>
    <xf numFmtId="0" fontId="2" fillId="0" borderId="0" xfId="0" applyFont="1" applyAlignment="1">
      <alignment vertical="center" wrapText="1"/>
    </xf>
    <xf numFmtId="0" fontId="6" fillId="0" borderId="0" xfId="0" applyFont="1" applyAlignment="1">
      <alignment vertical="center" wrapText="1"/>
    </xf>
    <xf numFmtId="0" fontId="0" fillId="0" borderId="0" xfId="0" quotePrefix="1" applyAlignment="1">
      <alignment vertical="center"/>
    </xf>
    <xf numFmtId="0" fontId="5" fillId="0" borderId="0" xfId="0" applyFont="1" applyAlignment="1">
      <alignment vertical="center" wrapText="1"/>
    </xf>
    <xf numFmtId="0" fontId="0" fillId="0" borderId="0" xfId="0" quotePrefix="1" applyAlignment="1">
      <alignment vertical="top" wrapText="1"/>
    </xf>
    <xf numFmtId="0" fontId="0" fillId="0" borderId="0" xfId="0" applyAlignment="1">
      <alignment vertical="top" wrapText="1"/>
    </xf>
    <xf numFmtId="0" fontId="0" fillId="0" borderId="0" xfId="0" applyAlignment="1">
      <alignment vertical="top"/>
    </xf>
    <xf numFmtId="0" fontId="0" fillId="0" borderId="5" xfId="0" applyBorder="1" applyAlignment="1">
      <alignment horizontal="center" vertical="center" wrapText="1"/>
    </xf>
    <xf numFmtId="1" fontId="0" fillId="0" borderId="5" xfId="0" applyNumberFormat="1" applyBorder="1" applyAlignment="1">
      <alignment horizontal="left" vertical="center" wrapText="1"/>
    </xf>
    <xf numFmtId="0" fontId="0" fillId="0" borderId="0" xfId="0" applyAlignment="1">
      <alignment horizontal="left" vertical="center"/>
    </xf>
    <xf numFmtId="0" fontId="0" fillId="0" borderId="5" xfId="0" quotePrefix="1" applyBorder="1" applyAlignment="1">
      <alignment horizontal="left" vertical="center"/>
    </xf>
    <xf numFmtId="1" fontId="0" fillId="0" borderId="3" xfId="0" applyNumberFormat="1" applyBorder="1" applyAlignment="1">
      <alignment horizontal="center" vertical="center" wrapText="1"/>
    </xf>
    <xf numFmtId="1" fontId="0" fillId="0" borderId="7" xfId="0" applyNumberFormat="1" applyBorder="1" applyAlignment="1">
      <alignment horizontal="center" vertical="center" wrapText="1"/>
    </xf>
    <xf numFmtId="165" fontId="0" fillId="0" borderId="3" xfId="0" applyNumberFormat="1" applyBorder="1" applyAlignment="1">
      <alignment horizontal="center" vertical="center" wrapText="1"/>
    </xf>
    <xf numFmtId="165" fontId="0" fillId="0" borderId="7" xfId="0" applyNumberFormat="1" applyBorder="1" applyAlignment="1">
      <alignment horizontal="center" vertical="center" wrapText="1"/>
    </xf>
    <xf numFmtId="0" fontId="16" fillId="0" borderId="0" xfId="0" quotePrefix="1" applyFont="1" applyAlignment="1">
      <alignment horizontal="left" vertical="top"/>
    </xf>
    <xf numFmtId="165" fontId="7" fillId="0" borderId="6" xfId="0" applyNumberFormat="1" applyFont="1" applyBorder="1" applyAlignment="1">
      <alignment horizontal="center" vertical="center" wrapText="1"/>
    </xf>
    <xf numFmtId="0" fontId="7" fillId="0" borderId="5" xfId="0" applyFont="1" applyBorder="1" applyAlignment="1">
      <alignment horizontal="left" vertical="center"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 fillId="0" borderId="24" xfId="0" applyFont="1" applyBorder="1" applyAlignment="1">
      <alignment horizontal="left" vertical="center" wrapText="1"/>
    </xf>
    <xf numFmtId="0" fontId="0" fillId="0" borderId="23" xfId="0" applyBorder="1" applyAlignment="1">
      <alignment horizontal="left" vertical="center" wrapText="1"/>
    </xf>
    <xf numFmtId="0" fontId="0" fillId="0" borderId="25" xfId="0" applyBorder="1" applyAlignment="1">
      <alignment horizontal="left" vertical="center" wrapText="1"/>
    </xf>
    <xf numFmtId="0" fontId="0" fillId="0" borderId="25" xfId="0" applyBorder="1" applyAlignment="1">
      <alignment horizontal="left"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15" fillId="0" borderId="0" xfId="0" quotePrefix="1" applyFont="1" applyAlignment="1">
      <alignment vertical="top"/>
    </xf>
    <xf numFmtId="0" fontId="0" fillId="0" borderId="25" xfId="0" applyBorder="1" applyAlignment="1">
      <alignment horizontal="left" vertical="top" wrapText="1"/>
    </xf>
    <xf numFmtId="0" fontId="0" fillId="0" borderId="26" xfId="0" applyBorder="1" applyAlignment="1">
      <alignment horizontal="left" vertical="top" wrapText="1"/>
    </xf>
    <xf numFmtId="0" fontId="4" fillId="2" borderId="23" xfId="0" applyFont="1" applyFill="1" applyBorder="1" applyAlignment="1">
      <alignment horizontal="center" vertical="center" wrapText="1"/>
    </xf>
    <xf numFmtId="0" fontId="7" fillId="0" borderId="25" xfId="0" applyFont="1" applyBorder="1" applyAlignment="1">
      <alignment horizontal="left" vertical="center" wrapText="1"/>
    </xf>
    <xf numFmtId="0" fontId="0" fillId="0" borderId="26" xfId="0" quotePrefix="1" applyBorder="1" applyAlignment="1">
      <alignment horizontal="left" vertical="center" wrapText="1"/>
    </xf>
    <xf numFmtId="0" fontId="18" fillId="0" borderId="0" xfId="0" quotePrefix="1" applyFont="1" applyAlignment="1">
      <alignment vertical="top" wrapText="1"/>
    </xf>
    <xf numFmtId="2" fontId="0" fillId="0" borderId="0" xfId="0" quotePrefix="1" applyNumberFormat="1" applyAlignment="1">
      <alignment horizontal="center" vertical="center"/>
    </xf>
    <xf numFmtId="165" fontId="3" fillId="4" borderId="4" xfId="0" applyNumberFormat="1" applyFont="1" applyFill="1" applyBorder="1" applyAlignment="1">
      <alignment horizontal="center" vertical="center" wrapText="1"/>
    </xf>
    <xf numFmtId="0" fontId="1" fillId="4" borderId="5" xfId="0" applyFont="1" applyFill="1" applyBorder="1" applyAlignment="1">
      <alignment vertical="center" wrapText="1"/>
    </xf>
    <xf numFmtId="165" fontId="1" fillId="4" borderId="6" xfId="0" applyNumberFormat="1" applyFont="1" applyFill="1" applyBorder="1" applyAlignment="1">
      <alignment horizontal="center" vertical="center" wrapText="1"/>
    </xf>
    <xf numFmtId="165" fontId="3" fillId="4" borderId="6" xfId="0" applyNumberFormat="1" applyFont="1" applyFill="1" applyBorder="1" applyAlignment="1">
      <alignment horizontal="center" vertical="center" wrapText="1"/>
    </xf>
    <xf numFmtId="2" fontId="3" fillId="4" borderId="0" xfId="0" applyNumberFormat="1" applyFont="1" applyFill="1" applyAlignment="1">
      <alignment horizontal="left" vertical="center" wrapText="1"/>
    </xf>
    <xf numFmtId="165" fontId="3" fillId="4" borderId="0" xfId="0" applyNumberFormat="1" applyFont="1" applyFill="1" applyAlignment="1">
      <alignment horizontal="center" vertical="center" wrapText="1"/>
    </xf>
    <xf numFmtId="6" fontId="1" fillId="4" borderId="0" xfId="0" applyNumberFormat="1" applyFont="1" applyFill="1" applyAlignment="1">
      <alignment horizontal="left" vertical="center" wrapText="1"/>
    </xf>
    <xf numFmtId="3" fontId="1" fillId="4" borderId="0" xfId="0" applyNumberFormat="1" applyFont="1" applyFill="1" applyAlignment="1">
      <alignment horizontal="center" vertical="center" wrapText="1"/>
    </xf>
    <xf numFmtId="2" fontId="1" fillId="4" borderId="0" xfId="0" applyNumberFormat="1" applyFont="1" applyFill="1" applyAlignment="1">
      <alignment horizontal="center" vertical="center" wrapText="1"/>
    </xf>
    <xf numFmtId="165" fontId="1" fillId="4" borderId="0" xfId="0" applyNumberFormat="1" applyFont="1" applyFill="1" applyAlignment="1">
      <alignment horizontal="center" vertical="center" wrapText="1"/>
    </xf>
    <xf numFmtId="9" fontId="3" fillId="4" borderId="0" xfId="0" applyNumberFormat="1" applyFont="1" applyFill="1" applyAlignment="1">
      <alignment horizontal="center" vertical="center" wrapText="1"/>
    </xf>
    <xf numFmtId="0" fontId="1" fillId="4" borderId="2" xfId="0" applyFont="1" applyFill="1" applyBorder="1" applyAlignment="1">
      <alignment vertical="center" wrapText="1"/>
    </xf>
    <xf numFmtId="0" fontId="3" fillId="4" borderId="3" xfId="0" applyFont="1" applyFill="1" applyBorder="1" applyAlignment="1">
      <alignment horizontal="center" vertical="center" wrapText="1"/>
    </xf>
    <xf numFmtId="3" fontId="3" fillId="4" borderId="3" xfId="0" applyNumberFormat="1" applyFont="1" applyFill="1" applyBorder="1" applyAlignment="1">
      <alignment horizontal="center" vertical="center" wrapText="1"/>
    </xf>
    <xf numFmtId="2" fontId="3" fillId="4" borderId="3" xfId="0" applyNumberFormat="1" applyFont="1" applyFill="1" applyBorder="1" applyAlignment="1">
      <alignment horizontal="center" vertical="center" wrapText="1"/>
    </xf>
    <xf numFmtId="0" fontId="1" fillId="4" borderId="5" xfId="0" applyFont="1" applyFill="1" applyBorder="1" applyAlignment="1">
      <alignment horizontal="left" vertical="center" wrapText="1"/>
    </xf>
    <xf numFmtId="0" fontId="3" fillId="4" borderId="0" xfId="0" applyFont="1" applyFill="1" applyAlignment="1">
      <alignment horizontal="center" vertical="center" wrapText="1"/>
    </xf>
    <xf numFmtId="3" fontId="3" fillId="4" borderId="0" xfId="0" applyNumberFormat="1" applyFont="1" applyFill="1" applyAlignment="1">
      <alignment horizontal="center" vertical="center" wrapText="1"/>
    </xf>
    <xf numFmtId="2" fontId="3" fillId="4" borderId="0" xfId="0" applyNumberFormat="1" applyFont="1" applyFill="1" applyAlignment="1">
      <alignment horizontal="center" vertical="center" wrapText="1"/>
    </xf>
    <xf numFmtId="9" fontId="0" fillId="0" borderId="0" xfId="0" applyNumberFormat="1" applyAlignment="1">
      <alignment horizontal="center" vertical="center" wrapText="1"/>
    </xf>
    <xf numFmtId="165" fontId="1" fillId="4" borderId="8" xfId="0" applyNumberFormat="1" applyFont="1" applyFill="1" applyBorder="1" applyAlignment="1">
      <alignment horizontal="center" vertical="center" wrapText="1"/>
    </xf>
    <xf numFmtId="0" fontId="3" fillId="4" borderId="0" xfId="0" applyFont="1" applyFill="1" applyAlignment="1">
      <alignment horizontal="left" vertical="center" wrapText="1"/>
    </xf>
    <xf numFmtId="0" fontId="1" fillId="4" borderId="9" xfId="0" applyFont="1" applyFill="1" applyBorder="1" applyAlignment="1">
      <alignment vertical="center" wrapText="1"/>
    </xf>
    <xf numFmtId="0" fontId="1" fillId="4" borderId="7" xfId="0" applyFont="1" applyFill="1" applyBorder="1" applyAlignment="1">
      <alignment horizontal="left" vertical="center" wrapText="1"/>
    </xf>
    <xf numFmtId="3" fontId="1" fillId="4" borderId="7" xfId="0" applyNumberFormat="1" applyFont="1" applyFill="1" applyBorder="1" applyAlignment="1">
      <alignment horizontal="left" vertical="center" wrapText="1"/>
    </xf>
    <xf numFmtId="2" fontId="1" fillId="4" borderId="7" xfId="0" applyNumberFormat="1" applyFont="1" applyFill="1" applyBorder="1" applyAlignment="1">
      <alignment horizontal="left" vertical="center" wrapText="1"/>
    </xf>
    <xf numFmtId="9" fontId="1" fillId="4" borderId="7" xfId="0" applyNumberFormat="1" applyFont="1" applyFill="1" applyBorder="1" applyAlignment="1">
      <alignment horizontal="center" vertical="center" wrapText="1"/>
    </xf>
    <xf numFmtId="3" fontId="12" fillId="0" borderId="0" xfId="1" applyNumberFormat="1" applyFill="1" applyBorder="1" applyAlignment="1" applyProtection="1">
      <alignment horizontal="center" vertical="center" wrapText="1"/>
      <protection locked="0"/>
    </xf>
    <xf numFmtId="0" fontId="0" fillId="0" borderId="29" xfId="0" quotePrefix="1" applyBorder="1" applyAlignment="1">
      <alignment horizontal="center" vertical="center" wrapText="1"/>
    </xf>
    <xf numFmtId="0" fontId="0" fillId="0" borderId="29" xfId="0" applyBorder="1"/>
    <xf numFmtId="0" fontId="0" fillId="0" borderId="29" xfId="0" quotePrefix="1" applyBorder="1" applyAlignment="1">
      <alignment horizontal="center" vertical="center"/>
    </xf>
    <xf numFmtId="2" fontId="0" fillId="0" borderId="29" xfId="0" quotePrefix="1" applyNumberFormat="1" applyBorder="1" applyAlignment="1">
      <alignment horizontal="center" vertical="center"/>
    </xf>
    <xf numFmtId="0" fontId="0" fillId="0" borderId="29" xfId="0" applyBorder="1" applyAlignment="1">
      <alignment horizontal="center" vertical="center"/>
    </xf>
    <xf numFmtId="0" fontId="0" fillId="0" borderId="29" xfId="0" applyBorder="1" applyAlignment="1">
      <alignment horizontal="center"/>
    </xf>
    <xf numFmtId="0" fontId="7" fillId="5" borderId="25" xfId="1" applyFont="1" applyFill="1" applyBorder="1" applyAlignment="1">
      <alignment horizontal="left" vertical="center" wrapText="1"/>
    </xf>
    <xf numFmtId="0" fontId="12" fillId="0" borderId="0" xfId="1" quotePrefix="1" applyFill="1" applyBorder="1" applyAlignment="1" applyProtection="1">
      <alignment horizontal="left" wrapText="1"/>
    </xf>
    <xf numFmtId="3" fontId="17" fillId="0" borderId="0" xfId="0" applyNumberFormat="1" applyFont="1" applyAlignment="1">
      <alignment horizontal="center" vertical="center" wrapText="1"/>
    </xf>
    <xf numFmtId="0" fontId="0" fillId="5" borderId="19" xfId="1" quotePrefix="1" applyFont="1" applyFill="1" applyAlignment="1" applyProtection="1">
      <alignment horizontal="center" vertical="center"/>
      <protection locked="0"/>
    </xf>
    <xf numFmtId="0" fontId="0" fillId="5" borderId="21" xfId="1" quotePrefix="1" applyFont="1" applyFill="1" applyBorder="1" applyAlignment="1" applyProtection="1">
      <alignment horizontal="center" vertical="center"/>
      <protection locked="0"/>
    </xf>
    <xf numFmtId="2" fontId="2" fillId="5" borderId="27" xfId="0" applyNumberFormat="1" applyFont="1" applyFill="1" applyBorder="1" applyAlignment="1">
      <alignment horizontal="center" vertical="center" wrapText="1"/>
    </xf>
    <xf numFmtId="165" fontId="2" fillId="5" borderId="27" xfId="0" applyNumberFormat="1" applyFont="1" applyFill="1" applyBorder="1" applyAlignment="1">
      <alignment horizontal="center" vertical="center" wrapText="1"/>
    </xf>
    <xf numFmtId="165" fontId="2" fillId="5" borderId="28" xfId="0" applyNumberFormat="1"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 xfId="0"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2" fontId="3" fillId="4" borderId="1" xfId="0" applyNumberFormat="1" applyFont="1" applyFill="1" applyBorder="1" applyAlignment="1">
      <alignment horizontal="center" vertical="center" wrapText="1"/>
    </xf>
    <xf numFmtId="0" fontId="1" fillId="4" borderId="12" xfId="0" applyFont="1" applyFill="1" applyBorder="1" applyAlignment="1">
      <alignment vertical="center" wrapText="1"/>
    </xf>
    <xf numFmtId="0" fontId="1" fillId="4" borderId="11" xfId="0" applyFont="1" applyFill="1" applyBorder="1" applyAlignment="1">
      <alignment horizontal="left" vertical="center" wrapText="1"/>
    </xf>
    <xf numFmtId="3" fontId="2" fillId="0" borderId="0" xfId="0" applyNumberFormat="1" applyFont="1" applyAlignment="1">
      <alignment horizontal="left" vertical="center" wrapText="1"/>
    </xf>
    <xf numFmtId="2" fontId="24" fillId="0" borderId="0" xfId="0" applyNumberFormat="1" applyFont="1" applyAlignment="1">
      <alignment horizontal="left" vertical="center" wrapText="1"/>
    </xf>
    <xf numFmtId="2" fontId="24" fillId="0" borderId="0" xfId="0" applyNumberFormat="1" applyFont="1" applyAlignment="1">
      <alignment horizontal="left" vertical="center"/>
    </xf>
    <xf numFmtId="2" fontId="25" fillId="0" borderId="0" xfId="0" applyNumberFormat="1" applyFont="1" applyAlignment="1">
      <alignment horizontal="left" vertical="center"/>
    </xf>
    <xf numFmtId="164" fontId="0" fillId="0" borderId="29" xfId="0" applyNumberFormat="1" applyBorder="1" applyAlignment="1">
      <alignment horizontal="center" vertical="center"/>
    </xf>
    <xf numFmtId="3" fontId="7" fillId="5" borderId="19" xfId="1" applyNumberFormat="1" applyFont="1" applyFill="1" applyAlignment="1" applyProtection="1">
      <alignment horizontal="center" vertical="center" wrapText="1"/>
      <protection locked="0"/>
    </xf>
    <xf numFmtId="165" fontId="3" fillId="4" borderId="3" xfId="0" applyNumberFormat="1" applyFont="1" applyFill="1" applyBorder="1" applyAlignment="1">
      <alignment horizontal="center" vertical="center" wrapText="1"/>
    </xf>
    <xf numFmtId="0" fontId="7" fillId="0" borderId="5" xfId="0" quotePrefix="1" applyFont="1" applyBorder="1" applyAlignment="1">
      <alignment horizontal="left" vertical="center" wrapText="1"/>
    </xf>
    <xf numFmtId="9" fontId="17" fillId="0" borderId="0" xfId="2" applyFont="1" applyBorder="1" applyAlignment="1">
      <alignment horizontal="center" vertical="center" wrapText="1"/>
    </xf>
    <xf numFmtId="3" fontId="3" fillId="4" borderId="13" xfId="0" applyNumberFormat="1" applyFont="1" applyFill="1" applyBorder="1" applyAlignment="1">
      <alignment horizontal="center" vertical="center" wrapText="1"/>
    </xf>
    <xf numFmtId="2" fontId="0" fillId="0" borderId="6" xfId="0" applyNumberFormat="1" applyBorder="1" applyAlignment="1">
      <alignment horizontal="left" vertical="center" wrapText="1"/>
    </xf>
    <xf numFmtId="3" fontId="0" fillId="0" borderId="32" xfId="1" quotePrefix="1" applyNumberFormat="1" applyFont="1" applyFill="1" applyBorder="1" applyAlignment="1" applyProtection="1">
      <alignment horizontal="center" vertical="center"/>
      <protection locked="0"/>
    </xf>
    <xf numFmtId="2" fontId="24" fillId="0" borderId="0" xfId="0" applyNumberFormat="1" applyFont="1" applyAlignment="1">
      <alignment vertical="center"/>
    </xf>
    <xf numFmtId="3" fontId="7" fillId="5" borderId="21" xfId="1" applyNumberFormat="1" applyFont="1" applyFill="1" applyBorder="1" applyAlignment="1" applyProtection="1">
      <alignment horizontal="center" vertical="center" wrapText="1"/>
      <protection locked="0"/>
    </xf>
    <xf numFmtId="0" fontId="1" fillId="4" borderId="33" xfId="1" applyFont="1" applyFill="1" applyBorder="1" applyAlignment="1" applyProtection="1">
      <alignment horizontal="left" vertical="center" wrapText="1"/>
    </xf>
    <xf numFmtId="3" fontId="7" fillId="5" borderId="22" xfId="1" applyNumberFormat="1" applyFont="1" applyFill="1" applyBorder="1" applyAlignment="1" applyProtection="1">
      <alignment horizontal="center" vertical="center" wrapText="1"/>
      <protection locked="0"/>
    </xf>
    <xf numFmtId="2" fontId="0" fillId="0" borderId="0" xfId="0" quotePrefix="1" applyNumberFormat="1" applyAlignment="1">
      <alignment horizontal="left" vertical="center"/>
    </xf>
    <xf numFmtId="1" fontId="0" fillId="0" borderId="0" xfId="0" applyNumberFormat="1" applyAlignment="1">
      <alignment vertical="center" wrapText="1"/>
    </xf>
    <xf numFmtId="165" fontId="22" fillId="0" borderId="0" xfId="0" applyNumberFormat="1" applyFont="1" applyAlignment="1">
      <alignment horizontal="left" vertical="center" wrapText="1"/>
    </xf>
    <xf numFmtId="165" fontId="2" fillId="0" borderId="0" xfId="0" applyNumberFormat="1" applyFont="1" applyAlignment="1">
      <alignment horizontal="center" wrapText="1"/>
    </xf>
    <xf numFmtId="165" fontId="0" fillId="0" borderId="6" xfId="0" applyNumberFormat="1" applyBorder="1" applyAlignment="1">
      <alignment horizontal="center" vertical="center"/>
    </xf>
    <xf numFmtId="0" fontId="0" fillId="5" borderId="22" xfId="1" quotePrefix="1" applyFont="1" applyFill="1" applyBorder="1" applyAlignment="1" applyProtection="1">
      <alignment horizontal="center" vertical="center"/>
      <protection locked="0"/>
    </xf>
    <xf numFmtId="0" fontId="3" fillId="4" borderId="29" xfId="0" applyFont="1" applyFill="1" applyBorder="1" applyAlignment="1">
      <alignment horizontal="center" vertical="center" wrapText="1"/>
    </xf>
    <xf numFmtId="0" fontId="1" fillId="4" borderId="29" xfId="0" applyFont="1" applyFill="1" applyBorder="1" applyAlignment="1">
      <alignment horizontal="left" vertical="center" wrapText="1"/>
    </xf>
    <xf numFmtId="0" fontId="1" fillId="4" borderId="29" xfId="0" applyFont="1" applyFill="1" applyBorder="1" applyAlignment="1">
      <alignment horizontal="center" vertical="center" wrapText="1"/>
    </xf>
    <xf numFmtId="165" fontId="1" fillId="4" borderId="30" xfId="0" applyNumberFormat="1" applyFont="1" applyFill="1" applyBorder="1" applyAlignment="1">
      <alignment horizontal="center" vertical="center" wrapText="1"/>
    </xf>
    <xf numFmtId="165" fontId="1" fillId="4" borderId="31" xfId="0" applyNumberFormat="1" applyFont="1" applyFill="1" applyBorder="1" applyAlignment="1">
      <alignment horizontal="center" vertical="center" wrapText="1"/>
    </xf>
    <xf numFmtId="164" fontId="0" fillId="5" borderId="29" xfId="1" quotePrefix="1" applyNumberFormat="1" applyFont="1" applyFill="1" applyBorder="1" applyAlignment="1" applyProtection="1">
      <alignment horizontal="center" vertical="center"/>
      <protection locked="0"/>
    </xf>
    <xf numFmtId="0" fontId="2" fillId="6" borderId="35" xfId="0" applyFont="1" applyFill="1" applyBorder="1"/>
    <xf numFmtId="165" fontId="22" fillId="0" borderId="3" xfId="0" applyNumberFormat="1" applyFont="1" applyBorder="1" applyAlignment="1">
      <alignment horizontal="left" vertical="center" wrapText="1"/>
    </xf>
    <xf numFmtId="0" fontId="2" fillId="6" borderId="37" xfId="0" applyFont="1" applyFill="1" applyBorder="1"/>
    <xf numFmtId="0" fontId="0" fillId="6" borderId="38" xfId="0" applyFill="1" applyBorder="1"/>
    <xf numFmtId="10" fontId="0" fillId="6" borderId="39" xfId="2" applyNumberFormat="1" applyFont="1" applyFill="1" applyBorder="1"/>
    <xf numFmtId="0" fontId="2" fillId="6" borderId="40" xfId="0" applyFont="1" applyFill="1" applyBorder="1"/>
    <xf numFmtId="165" fontId="22" fillId="0" borderId="6" xfId="0" applyNumberFormat="1" applyFont="1" applyBorder="1" applyAlignment="1">
      <alignment horizontal="left" vertical="center" wrapText="1"/>
    </xf>
    <xf numFmtId="0" fontId="2" fillId="6" borderId="41" xfId="0" applyFont="1" applyFill="1" applyBorder="1"/>
    <xf numFmtId="0" fontId="0" fillId="6" borderId="42" xfId="0" applyFill="1" applyBorder="1"/>
    <xf numFmtId="165" fontId="22" fillId="0" borderId="7" xfId="0" applyNumberFormat="1" applyFont="1" applyBorder="1" applyAlignment="1">
      <alignment horizontal="left" vertical="center" wrapText="1"/>
    </xf>
    <xf numFmtId="0" fontId="26" fillId="0" borderId="7" xfId="0" applyFont="1" applyBorder="1" applyAlignment="1">
      <alignment wrapText="1"/>
    </xf>
    <xf numFmtId="0" fontId="26" fillId="0" borderId="8" xfId="0" applyFont="1" applyBorder="1" applyAlignment="1">
      <alignment wrapText="1"/>
    </xf>
    <xf numFmtId="165" fontId="1" fillId="4" borderId="43" xfId="0" applyNumberFormat="1" applyFont="1" applyFill="1" applyBorder="1" applyAlignment="1">
      <alignment horizontal="center" wrapText="1"/>
    </xf>
    <xf numFmtId="165" fontId="1" fillId="4" borderId="44" xfId="0" applyNumberFormat="1" applyFont="1" applyFill="1" applyBorder="1" applyAlignment="1">
      <alignment horizontal="center" wrapText="1"/>
    </xf>
    <xf numFmtId="165" fontId="1" fillId="4" borderId="44" xfId="0" applyNumberFormat="1" applyFont="1" applyFill="1" applyBorder="1" applyAlignment="1">
      <alignment horizontal="center" vertical="center" wrapText="1"/>
    </xf>
    <xf numFmtId="165" fontId="1" fillId="4" borderId="36" xfId="0" applyNumberFormat="1" applyFont="1" applyFill="1" applyBorder="1" applyAlignment="1">
      <alignment horizontal="center" vertical="center" wrapText="1"/>
    </xf>
    <xf numFmtId="165" fontId="1" fillId="4" borderId="45" xfId="0" applyNumberFormat="1" applyFont="1" applyFill="1" applyBorder="1" applyAlignment="1">
      <alignment horizontal="center" wrapText="1"/>
    </xf>
    <xf numFmtId="165" fontId="1" fillId="4" borderId="46" xfId="0" applyNumberFormat="1" applyFont="1" applyFill="1" applyBorder="1" applyAlignment="1">
      <alignment horizontal="center" vertical="center" wrapText="1"/>
    </xf>
    <xf numFmtId="0" fontId="1" fillId="4" borderId="40" xfId="0" applyFont="1" applyFill="1" applyBorder="1" applyAlignment="1">
      <alignment horizontal="left" vertical="center" wrapText="1"/>
    </xf>
    <xf numFmtId="0" fontId="0" fillId="0" borderId="40" xfId="0" applyBorder="1" applyAlignment="1">
      <alignment vertical="center" wrapText="1"/>
    </xf>
    <xf numFmtId="0" fontId="0" fillId="0" borderId="47" xfId="0" applyBorder="1"/>
    <xf numFmtId="0" fontId="7" fillId="0" borderId="40" xfId="0" applyFont="1" applyBorder="1" applyAlignment="1">
      <alignment horizontal="left" vertical="center" wrapText="1"/>
    </xf>
    <xf numFmtId="0" fontId="7" fillId="0" borderId="40" xfId="0" quotePrefix="1" applyFont="1" applyBorder="1" applyAlignment="1">
      <alignment horizontal="left" vertical="center"/>
    </xf>
    <xf numFmtId="0" fontId="0" fillId="0" borderId="47" xfId="0" applyBorder="1" applyAlignment="1">
      <alignment wrapText="1"/>
    </xf>
    <xf numFmtId="1" fontId="0" fillId="0" borderId="40" xfId="0" applyNumberFormat="1" applyBorder="1" applyAlignment="1">
      <alignment horizontal="left" vertical="center" wrapText="1"/>
    </xf>
    <xf numFmtId="0" fontId="1" fillId="4" borderId="47" xfId="0" applyFont="1" applyFill="1" applyBorder="1" applyAlignment="1">
      <alignment horizontal="left" vertical="center" wrapText="1"/>
    </xf>
    <xf numFmtId="0" fontId="0" fillId="0" borderId="40" xfId="0" applyBorder="1"/>
    <xf numFmtId="0" fontId="2" fillId="0" borderId="26" xfId="0" applyFont="1" applyBorder="1" applyAlignment="1">
      <alignment horizontal="left" vertical="center" wrapText="1"/>
    </xf>
    <xf numFmtId="0" fontId="0" fillId="0" borderId="26" xfId="0" applyBorder="1" applyAlignment="1">
      <alignment horizontal="left" vertical="center" wrapText="1"/>
    </xf>
    <xf numFmtId="0" fontId="0" fillId="0" borderId="41" xfId="0" applyBorder="1" applyAlignment="1">
      <alignment vertical="center" wrapText="1"/>
    </xf>
    <xf numFmtId="0" fontId="0" fillId="0" borderId="0" xfId="0" applyAlignment="1">
      <alignment horizontal="left"/>
    </xf>
    <xf numFmtId="165" fontId="0" fillId="0" borderId="0" xfId="0" applyNumberFormat="1" applyAlignment="1">
      <alignment horizontal="center" vertical="center"/>
    </xf>
    <xf numFmtId="165" fontId="10" fillId="0" borderId="0" xfId="0" quotePrefix="1" applyNumberFormat="1" applyFont="1" applyAlignment="1">
      <alignment horizontal="center" vertical="center"/>
    </xf>
    <xf numFmtId="165" fontId="7" fillId="0" borderId="0" xfId="0" applyNumberFormat="1" applyFont="1" applyAlignment="1">
      <alignment horizontal="center" vertical="center" wrapText="1"/>
    </xf>
    <xf numFmtId="168" fontId="0" fillId="0" borderId="0" xfId="0" quotePrefix="1" applyNumberFormat="1" applyAlignment="1">
      <alignment horizontal="center" vertical="center"/>
    </xf>
    <xf numFmtId="6" fontId="1" fillId="4" borderId="0" xfId="0" quotePrefix="1" applyNumberFormat="1" applyFont="1" applyFill="1" applyAlignment="1">
      <alignment horizontal="left" vertical="center" wrapText="1"/>
    </xf>
    <xf numFmtId="3" fontId="1" fillId="4" borderId="0" xfId="0" quotePrefix="1" applyNumberFormat="1" applyFont="1" applyFill="1" applyAlignment="1">
      <alignment horizontal="center" vertical="center" wrapText="1"/>
    </xf>
    <xf numFmtId="0" fontId="0" fillId="0" borderId="5" xfId="0" applyBorder="1" applyAlignment="1">
      <alignment wrapText="1"/>
    </xf>
    <xf numFmtId="0" fontId="7" fillId="5" borderId="19" xfId="1" applyFont="1" applyFill="1" applyAlignment="1" applyProtection="1">
      <alignment horizontal="center" vertical="center"/>
      <protection locked="0"/>
    </xf>
    <xf numFmtId="0" fontId="7" fillId="5" borderId="19" xfId="1" quotePrefix="1" applyFont="1" applyFill="1" applyAlignment="1" applyProtection="1">
      <alignment horizontal="center" vertical="center"/>
      <protection locked="0"/>
    </xf>
    <xf numFmtId="0" fontId="0" fillId="0" borderId="9" xfId="0" applyBorder="1" applyAlignment="1">
      <alignment vertical="center" wrapText="1"/>
    </xf>
    <xf numFmtId="0" fontId="0" fillId="0" borderId="7" xfId="0" applyBorder="1" applyAlignment="1">
      <alignment horizontal="left" vertical="center"/>
    </xf>
    <xf numFmtId="2" fontId="0" fillId="0" borderId="7" xfId="0" applyNumberFormat="1" applyBorder="1" applyAlignment="1">
      <alignment horizontal="center" vertical="center" wrapText="1"/>
    </xf>
    <xf numFmtId="0" fontId="0" fillId="0" borderId="7" xfId="0" applyBorder="1" applyAlignment="1">
      <alignment horizontal="left" vertical="center" wrapText="1"/>
    </xf>
    <xf numFmtId="9" fontId="0" fillId="0" borderId="7" xfId="0" applyNumberFormat="1" applyBorder="1" applyAlignment="1">
      <alignment horizontal="center" vertical="center" wrapText="1"/>
    </xf>
    <xf numFmtId="165" fontId="0" fillId="0" borderId="8" xfId="0" applyNumberFormat="1" applyBorder="1" applyAlignment="1">
      <alignment horizontal="center" vertical="center" wrapText="1"/>
    </xf>
    <xf numFmtId="9" fontId="7" fillId="0" borderId="0" xfId="0" applyNumberFormat="1" applyFont="1" applyAlignment="1">
      <alignment horizontal="center" vertical="center" wrapText="1"/>
    </xf>
    <xf numFmtId="2" fontId="7" fillId="0" borderId="0" xfId="0" applyNumberFormat="1" applyFont="1" applyAlignment="1">
      <alignment vertical="center"/>
    </xf>
    <xf numFmtId="3" fontId="7" fillId="0" borderId="0" xfId="1" applyNumberFormat="1" applyFont="1" applyFill="1" applyBorder="1" applyAlignment="1" applyProtection="1">
      <alignment horizontal="center" vertical="center" wrapText="1"/>
      <protection locked="0"/>
    </xf>
    <xf numFmtId="2" fontId="7" fillId="0" borderId="0" xfId="0" applyNumberFormat="1" applyFont="1" applyAlignment="1">
      <alignment horizontal="left" vertical="center"/>
    </xf>
    <xf numFmtId="9" fontId="7" fillId="0" borderId="0" xfId="2" applyFont="1" applyBorder="1" applyAlignment="1">
      <alignment horizontal="center" vertical="center" wrapText="1"/>
    </xf>
    <xf numFmtId="0" fontId="7" fillId="0" borderId="0" xfId="0" quotePrefix="1" applyFont="1" applyAlignment="1">
      <alignment horizontal="left" vertical="top"/>
    </xf>
    <xf numFmtId="0" fontId="7" fillId="0" borderId="0" xfId="0" quotePrefix="1" applyFont="1" applyAlignment="1">
      <alignment horizontal="left" vertical="center"/>
    </xf>
    <xf numFmtId="2" fontId="24" fillId="0" borderId="0" xfId="0" applyNumberFormat="1" applyFont="1" applyAlignment="1">
      <alignment vertical="center" wrapText="1"/>
    </xf>
    <xf numFmtId="2" fontId="30" fillId="0" borderId="0" xfId="0" applyNumberFormat="1" applyFont="1" applyAlignment="1">
      <alignment horizontal="left" vertical="center" wrapText="1"/>
    </xf>
    <xf numFmtId="164" fontId="0" fillId="5" borderId="29" xfId="1" quotePrefix="1" applyNumberFormat="1" applyFont="1" applyFill="1" applyBorder="1" applyAlignment="1" applyProtection="1">
      <alignment horizontal="center" vertical="center" wrapText="1"/>
      <protection locked="0"/>
    </xf>
    <xf numFmtId="0" fontId="15" fillId="0" borderId="47" xfId="0" applyFont="1" applyBorder="1" applyAlignment="1">
      <alignment wrapText="1"/>
    </xf>
    <xf numFmtId="0" fontId="7" fillId="5" borderId="53" xfId="1" applyFont="1" applyFill="1" applyBorder="1" applyAlignment="1" applyProtection="1">
      <alignment horizontal="center" vertical="center"/>
      <protection locked="0"/>
    </xf>
    <xf numFmtId="0" fontId="0" fillId="0" borderId="40" xfId="0" applyBorder="1" applyAlignment="1">
      <alignment wrapText="1"/>
    </xf>
    <xf numFmtId="0" fontId="22" fillId="0" borderId="47" xfId="0" applyFont="1" applyBorder="1" applyAlignment="1">
      <alignment wrapText="1"/>
    </xf>
    <xf numFmtId="0" fontId="1" fillId="4" borderId="30" xfId="3" applyNumberFormat="1" applyFont="1" applyFill="1" applyBorder="1" applyAlignment="1">
      <alignment horizontal="center" vertical="center" wrapText="1"/>
    </xf>
    <xf numFmtId="0" fontId="3" fillId="4" borderId="6" xfId="0" applyFont="1" applyFill="1" applyBorder="1" applyAlignment="1">
      <alignment horizontal="center" vertical="center" wrapText="1"/>
    </xf>
    <xf numFmtId="2" fontId="3" fillId="4" borderId="6" xfId="0" applyNumberFormat="1" applyFont="1" applyFill="1" applyBorder="1" applyAlignment="1">
      <alignment horizontal="center" vertical="center" wrapText="1"/>
    </xf>
    <xf numFmtId="3" fontId="3" fillId="4" borderId="0" xfId="0" applyNumberFormat="1" applyFont="1" applyFill="1" applyAlignment="1">
      <alignment horizontal="left" vertical="center" wrapText="1"/>
    </xf>
    <xf numFmtId="164" fontId="0" fillId="5" borderId="29" xfId="1" applyNumberFormat="1" applyFont="1" applyFill="1" applyBorder="1" applyAlignment="1" applyProtection="1">
      <alignment horizontal="center" vertical="center"/>
      <protection locked="0"/>
    </xf>
    <xf numFmtId="165" fontId="0" fillId="0" borderId="0" xfId="0" quotePrefix="1" applyNumberFormat="1" applyAlignment="1">
      <alignment horizontal="center" vertical="center" wrapText="1"/>
    </xf>
    <xf numFmtId="166" fontId="7" fillId="5" borderId="19" xfId="1" applyNumberFormat="1" applyFont="1" applyFill="1" applyAlignment="1" applyProtection="1">
      <alignment horizontal="center" vertical="center" wrapText="1"/>
      <protection locked="0"/>
    </xf>
    <xf numFmtId="0" fontId="0" fillId="7" borderId="19" xfId="1" quotePrefix="1" applyFont="1" applyFill="1" applyAlignment="1" applyProtection="1">
      <alignment horizontal="center" vertical="center"/>
      <protection locked="0"/>
    </xf>
    <xf numFmtId="1" fontId="7" fillId="5" borderId="19" xfId="1" applyNumberFormat="1" applyFont="1" applyFill="1" applyAlignment="1" applyProtection="1">
      <alignment horizontal="center" vertical="center"/>
      <protection locked="0"/>
    </xf>
    <xf numFmtId="0" fontId="3" fillId="4" borderId="52"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11" fillId="2" borderId="23" xfId="0" applyFont="1" applyFill="1" applyBorder="1" applyAlignment="1">
      <alignment horizontal="center" vertical="center" wrapText="1"/>
    </xf>
    <xf numFmtId="1" fontId="0" fillId="5" borderId="19" xfId="1" quotePrefix="1" applyNumberFormat="1" applyFont="1" applyFill="1" applyAlignment="1" applyProtection="1">
      <alignment horizontal="center" vertical="center"/>
      <protection locked="0"/>
    </xf>
    <xf numFmtId="165" fontId="1" fillId="0" borderId="14" xfId="0" applyNumberFormat="1" applyFont="1" applyBorder="1" applyAlignment="1">
      <alignment horizontal="center" vertical="center" wrapText="1"/>
    </xf>
    <xf numFmtId="0" fontId="1" fillId="0" borderId="14" xfId="3" applyNumberFormat="1" applyFont="1" applyFill="1" applyBorder="1" applyAlignment="1">
      <alignment horizontal="center" vertical="center" wrapText="1"/>
    </xf>
    <xf numFmtId="0" fontId="3" fillId="0" borderId="14" xfId="3" applyNumberFormat="1" applyFont="1" applyFill="1" applyBorder="1" applyAlignment="1">
      <alignment horizontal="center" vertical="center" wrapText="1"/>
    </xf>
    <xf numFmtId="0" fontId="1" fillId="4" borderId="35" xfId="0" applyFont="1" applyFill="1" applyBorder="1" applyAlignment="1">
      <alignment horizontal="left" vertical="center" wrapText="1"/>
    </xf>
    <xf numFmtId="0" fontId="3" fillId="4" borderId="36" xfId="0"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0" fillId="0" borderId="40" xfId="0" quotePrefix="1" applyBorder="1" applyAlignment="1">
      <alignment horizontal="left" vertical="center" wrapText="1"/>
    </xf>
    <xf numFmtId="0" fontId="1" fillId="4" borderId="47" xfId="0" applyFont="1" applyFill="1" applyBorder="1" applyAlignment="1">
      <alignment horizontal="center" vertical="center" wrapText="1"/>
    </xf>
    <xf numFmtId="0" fontId="3" fillId="4" borderId="0" xfId="0" quotePrefix="1" applyFont="1" applyFill="1" applyAlignment="1">
      <alignment horizontal="center" vertical="center" wrapText="1"/>
    </xf>
    <xf numFmtId="165" fontId="3" fillId="4" borderId="0" xfId="0" quotePrefix="1" applyNumberFormat="1" applyFont="1" applyFill="1" applyAlignment="1">
      <alignment horizontal="center" vertical="center"/>
    </xf>
    <xf numFmtId="0" fontId="0" fillId="0" borderId="5" xfId="0" quotePrefix="1" applyBorder="1" applyAlignment="1">
      <alignment horizontal="left" vertical="center" wrapText="1"/>
    </xf>
    <xf numFmtId="0" fontId="7" fillId="5" borderId="21" xfId="1" applyFont="1" applyFill="1" applyBorder="1" applyAlignment="1" applyProtection="1">
      <alignment horizontal="center" vertical="center"/>
      <protection locked="0"/>
    </xf>
    <xf numFmtId="0" fontId="7" fillId="0" borderId="26" xfId="0" applyFont="1" applyBorder="1" applyAlignment="1">
      <alignment horizontal="left" vertical="center" wrapText="1"/>
    </xf>
    <xf numFmtId="0" fontId="0" fillId="5" borderId="57" xfId="0" applyFill="1" applyBorder="1" applyAlignment="1">
      <alignment vertical="center" wrapText="1"/>
    </xf>
    <xf numFmtId="0" fontId="0" fillId="0" borderId="57" xfId="0" applyBorder="1" applyAlignment="1">
      <alignment vertical="center" wrapText="1"/>
    </xf>
    <xf numFmtId="0" fontId="0" fillId="0" borderId="47" xfId="0" applyBorder="1" applyAlignment="1">
      <alignment vertical="center" wrapText="1"/>
    </xf>
    <xf numFmtId="169" fontId="7" fillId="5" borderId="19" xfId="1" applyNumberFormat="1" applyFont="1" applyFill="1" applyAlignment="1" applyProtection="1">
      <alignment horizontal="center" vertical="center" wrapText="1"/>
      <protection locked="0"/>
    </xf>
    <xf numFmtId="3" fontId="7" fillId="9" borderId="19" xfId="1" quotePrefix="1" applyNumberFormat="1" applyFont="1" applyFill="1" applyAlignment="1" applyProtection="1">
      <alignment horizontal="center" vertical="center"/>
      <protection locked="0"/>
    </xf>
    <xf numFmtId="0" fontId="3" fillId="4" borderId="31" xfId="3" applyNumberFormat="1" applyFont="1" applyFill="1" applyBorder="1" applyAlignment="1">
      <alignment horizontal="center" vertical="center" wrapText="1"/>
    </xf>
    <xf numFmtId="0" fontId="7" fillId="0" borderId="0" xfId="0" applyFont="1" applyAlignment="1">
      <alignment horizontal="left" vertical="center" wrapText="1"/>
    </xf>
    <xf numFmtId="9" fontId="17" fillId="0" borderId="0" xfId="2" applyFont="1" applyBorder="1" applyAlignment="1" applyProtection="1">
      <alignment horizontal="center" vertical="center" wrapText="1"/>
    </xf>
    <xf numFmtId="6" fontId="0" fillId="0" borderId="0" xfId="0" applyNumberFormat="1" applyAlignment="1">
      <alignment horizontal="left" vertical="center" wrapText="1"/>
    </xf>
    <xf numFmtId="0" fontId="1" fillId="4" borderId="5" xfId="0" applyFont="1" applyFill="1" applyBorder="1" applyAlignment="1">
      <alignment horizontal="left" vertical="center"/>
    </xf>
    <xf numFmtId="0" fontId="3" fillId="4" borderId="0" xfId="0" applyFont="1" applyFill="1" applyAlignment="1">
      <alignment horizontal="left" vertical="center"/>
    </xf>
    <xf numFmtId="1" fontId="0" fillId="0" borderId="0" xfId="0" quotePrefix="1" applyNumberFormat="1" applyAlignment="1">
      <alignment horizontal="center" vertical="center"/>
    </xf>
    <xf numFmtId="0" fontId="3" fillId="4" borderId="1" xfId="0" applyFont="1" applyFill="1" applyBorder="1" applyAlignment="1">
      <alignment horizontal="left" vertical="center" wrapText="1"/>
    </xf>
    <xf numFmtId="0" fontId="0" fillId="0" borderId="5" xfId="0" applyBorder="1"/>
    <xf numFmtId="2" fontId="0" fillId="0" borderId="58" xfId="0" applyNumberFormat="1" applyBorder="1" applyAlignment="1">
      <alignment horizontal="left" vertical="center" wrapText="1"/>
    </xf>
    <xf numFmtId="0" fontId="33" fillId="0" borderId="5" xfId="0" quotePrefix="1" applyFont="1" applyBorder="1" applyAlignment="1">
      <alignment horizontal="left" vertical="center"/>
    </xf>
    <xf numFmtId="167" fontId="0" fillId="0" borderId="0" xfId="0" quotePrefix="1" applyNumberFormat="1" applyAlignment="1">
      <alignment horizontal="center" vertical="center"/>
    </xf>
    <xf numFmtId="0" fontId="7" fillId="0" borderId="5" xfId="0" quotePrefix="1" applyFont="1" applyBorder="1" applyAlignment="1">
      <alignment horizontal="left" vertical="center" indent="4"/>
    </xf>
    <xf numFmtId="0" fontId="9" fillId="0" borderId="5" xfId="0" quotePrefix="1" applyFont="1" applyBorder="1" applyAlignment="1">
      <alignment horizontal="left" vertical="center"/>
    </xf>
    <xf numFmtId="0" fontId="7" fillId="0" borderId="6" xfId="0" applyFont="1" applyBorder="1"/>
    <xf numFmtId="0" fontId="3" fillId="4" borderId="3" xfId="0" applyFont="1" applyFill="1" applyBorder="1" applyAlignment="1">
      <alignment horizontal="left" vertical="center" wrapText="1"/>
    </xf>
    <xf numFmtId="0" fontId="3" fillId="4" borderId="4" xfId="0" applyFont="1" applyFill="1" applyBorder="1" applyAlignment="1">
      <alignment horizontal="center" vertical="center" wrapText="1"/>
    </xf>
    <xf numFmtId="166" fontId="17" fillId="5" borderId="19" xfId="1" applyNumberFormat="1" applyFont="1" applyFill="1" applyAlignment="1" applyProtection="1">
      <alignment horizontal="center" vertical="center" wrapText="1"/>
      <protection locked="0"/>
    </xf>
    <xf numFmtId="166" fontId="17" fillId="7" borderId="19" xfId="1" applyNumberFormat="1" applyFont="1" applyFill="1" applyAlignment="1" applyProtection="1">
      <alignment horizontal="center" vertical="center" wrapText="1"/>
      <protection locked="0"/>
    </xf>
    <xf numFmtId="3" fontId="17" fillId="5" borderId="19" xfId="1" applyNumberFormat="1" applyFont="1" applyFill="1" applyAlignment="1" applyProtection="1">
      <alignment horizontal="center" vertical="center" wrapText="1"/>
      <protection locked="0"/>
    </xf>
    <xf numFmtId="164" fontId="0" fillId="5" borderId="29" xfId="0" quotePrefix="1" applyNumberFormat="1" applyFill="1" applyBorder="1" applyAlignment="1" applyProtection="1">
      <alignment horizontal="center" vertical="center"/>
      <protection locked="0"/>
    </xf>
    <xf numFmtId="165" fontId="0" fillId="5" borderId="29" xfId="0" applyNumberFormat="1" applyFill="1" applyBorder="1" applyAlignment="1" applyProtection="1">
      <alignment horizontal="center" vertical="center" wrapText="1"/>
      <protection locked="0"/>
    </xf>
    <xf numFmtId="164" fontId="0" fillId="5" borderId="29" xfId="0" applyNumberFormat="1" applyFill="1" applyBorder="1" applyAlignment="1" applyProtection="1">
      <alignment horizontal="center" vertical="center" wrapText="1"/>
      <protection locked="0"/>
    </xf>
    <xf numFmtId="165" fontId="7" fillId="5" borderId="29" xfId="0" applyNumberFormat="1" applyFont="1" applyFill="1" applyBorder="1" applyAlignment="1" applyProtection="1">
      <alignment horizontal="center" vertical="center" wrapText="1"/>
      <protection locked="0"/>
    </xf>
    <xf numFmtId="0" fontId="2" fillId="5" borderId="18"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17" fillId="5" borderId="0" xfId="1" quotePrefix="1" applyFont="1" applyFill="1" applyBorder="1" applyAlignment="1" applyProtection="1">
      <alignment horizontal="left" vertical="center" wrapText="1"/>
    </xf>
    <xf numFmtId="0" fontId="0" fillId="0" borderId="0" xfId="0" quotePrefix="1" applyAlignment="1">
      <alignment horizontal="center" vertical="top"/>
    </xf>
    <xf numFmtId="0" fontId="0" fillId="0" borderId="56" xfId="0" quotePrefix="1" applyBorder="1" applyAlignment="1">
      <alignment horizontal="center" vertical="center" wrapText="1"/>
    </xf>
    <xf numFmtId="0" fontId="0" fillId="0" borderId="54" xfId="0" applyBorder="1" applyAlignment="1">
      <alignment horizontal="left" wrapText="1"/>
    </xf>
    <xf numFmtId="0" fontId="22" fillId="0" borderId="0" xfId="0" applyFont="1" applyAlignment="1">
      <alignment horizontal="left" wrapText="1"/>
    </xf>
    <xf numFmtId="0" fontId="34" fillId="5" borderId="36" xfId="2" applyNumberFormat="1" applyFont="1" applyFill="1" applyBorder="1" applyProtection="1">
      <protection locked="0"/>
    </xf>
    <xf numFmtId="0" fontId="34" fillId="5" borderId="29" xfId="2" applyNumberFormat="1" applyFont="1" applyFill="1" applyBorder="1" applyProtection="1">
      <protection locked="0"/>
    </xf>
    <xf numFmtId="9" fontId="34" fillId="5" borderId="29" xfId="2" applyFont="1" applyFill="1" applyBorder="1" applyProtection="1">
      <protection locked="0"/>
    </xf>
    <xf numFmtId="2" fontId="36" fillId="0" borderId="0" xfId="0" applyNumberFormat="1" applyFont="1" applyAlignment="1">
      <alignment horizontal="left" vertical="center" wrapText="1"/>
    </xf>
    <xf numFmtId="0" fontId="17" fillId="0" borderId="0" xfId="1" quotePrefix="1" applyFont="1" applyFill="1" applyBorder="1" applyAlignment="1" applyProtection="1">
      <alignment horizontal="left" vertical="center" wrapText="1"/>
    </xf>
    <xf numFmtId="2" fontId="35" fillId="0" borderId="0" xfId="0" applyNumberFormat="1" applyFont="1" applyAlignment="1">
      <alignment vertical="center" wrapText="1"/>
    </xf>
    <xf numFmtId="0" fontId="2" fillId="5" borderId="18" xfId="0" applyFont="1" applyFill="1" applyBorder="1" applyAlignment="1">
      <alignment horizontal="left" vertical="center"/>
    </xf>
    <xf numFmtId="0" fontId="0" fillId="0" borderId="7" xfId="0" applyBorder="1" applyAlignment="1">
      <alignment vertical="center"/>
    </xf>
    <xf numFmtId="0" fontId="0" fillId="0" borderId="34" xfId="0" applyBorder="1" applyAlignment="1">
      <alignment horizont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165" fontId="32" fillId="6" borderId="2" xfId="0" applyNumberFormat="1" applyFont="1" applyFill="1" applyBorder="1" applyAlignment="1">
      <alignment horizontal="center" vertical="center" wrapText="1"/>
    </xf>
    <xf numFmtId="165" fontId="32" fillId="6" borderId="3" xfId="0" applyNumberFormat="1" applyFont="1" applyFill="1" applyBorder="1" applyAlignment="1">
      <alignment horizontal="center" vertical="center" wrapText="1"/>
    </xf>
    <xf numFmtId="165" fontId="32" fillId="6" borderId="4" xfId="0" applyNumberFormat="1" applyFont="1" applyFill="1" applyBorder="1" applyAlignment="1">
      <alignment horizontal="center" vertical="center" wrapText="1"/>
    </xf>
    <xf numFmtId="165" fontId="0" fillId="6" borderId="2" xfId="0" applyNumberFormat="1" applyFill="1" applyBorder="1" applyAlignment="1">
      <alignment horizontal="left" vertical="center" wrapText="1"/>
    </xf>
    <xf numFmtId="165" fontId="0" fillId="6" borderId="3" xfId="0" applyNumberFormat="1" applyFill="1" applyBorder="1" applyAlignment="1">
      <alignment horizontal="left" vertical="center" wrapText="1"/>
    </xf>
    <xf numFmtId="165" fontId="0" fillId="6" borderId="4" xfId="0" applyNumberFormat="1" applyFill="1" applyBorder="1" applyAlignment="1">
      <alignment horizontal="left" vertical="center" wrapText="1"/>
    </xf>
    <xf numFmtId="165" fontId="0" fillId="6" borderId="5" xfId="0" applyNumberFormat="1" applyFill="1" applyBorder="1" applyAlignment="1">
      <alignment horizontal="left" vertical="center" wrapText="1"/>
    </xf>
    <xf numFmtId="165" fontId="0" fillId="6" borderId="0" xfId="0" applyNumberFormat="1" applyFill="1" applyAlignment="1">
      <alignment horizontal="left" vertical="center" wrapText="1"/>
    </xf>
    <xf numFmtId="165" fontId="0" fillId="6" borderId="6" xfId="0" applyNumberFormat="1" applyFill="1" applyBorder="1" applyAlignment="1">
      <alignment horizontal="left" vertical="center" wrapText="1"/>
    </xf>
    <xf numFmtId="165" fontId="0" fillId="6" borderId="9" xfId="0" applyNumberFormat="1" applyFill="1" applyBorder="1" applyAlignment="1">
      <alignment horizontal="left" vertical="center" wrapText="1"/>
    </xf>
    <xf numFmtId="165" fontId="0" fillId="6" borderId="7" xfId="0" applyNumberFormat="1" applyFill="1" applyBorder="1" applyAlignment="1">
      <alignment horizontal="left" vertical="center" wrapText="1"/>
    </xf>
    <xf numFmtId="165" fontId="0" fillId="6" borderId="8" xfId="0" applyNumberFormat="1" applyFill="1" applyBorder="1" applyAlignment="1">
      <alignment horizontal="left" vertical="center" wrapText="1"/>
    </xf>
    <xf numFmtId="0" fontId="28" fillId="8" borderId="18" xfId="0" applyFont="1" applyFill="1" applyBorder="1" applyAlignment="1">
      <alignment horizontal="center"/>
    </xf>
    <xf numFmtId="0" fontId="28" fillId="8" borderId="27" xfId="0" applyFont="1" applyFill="1" applyBorder="1" applyAlignment="1">
      <alignment horizontal="center"/>
    </xf>
    <xf numFmtId="0" fontId="28" fillId="8" borderId="28" xfId="0" applyFont="1" applyFill="1" applyBorder="1" applyAlignment="1">
      <alignment horizontal="center"/>
    </xf>
    <xf numFmtId="0" fontId="0" fillId="0" borderId="29" xfId="0" applyBorder="1" applyAlignment="1">
      <alignment horizontal="left" vertical="center" wrapText="1"/>
    </xf>
    <xf numFmtId="0" fontId="0" fillId="0" borderId="42" xfId="0" applyBorder="1" applyAlignment="1">
      <alignment horizontal="left" vertical="center" wrapText="1"/>
    </xf>
    <xf numFmtId="1" fontId="0" fillId="0" borderId="34" xfId="0" applyNumberFormat="1" applyBorder="1" applyAlignment="1">
      <alignment horizontal="left" vertical="center" wrapText="1"/>
    </xf>
    <xf numFmtId="1" fontId="0" fillId="0" borderId="16" xfId="0" applyNumberFormat="1" applyBorder="1" applyAlignment="1">
      <alignment horizontal="left" vertical="center" wrapText="1"/>
    </xf>
    <xf numFmtId="1" fontId="0" fillId="0" borderId="48" xfId="0" applyNumberFormat="1" applyBorder="1" applyAlignment="1">
      <alignment horizontal="left" vertical="center" wrapText="1"/>
    </xf>
    <xf numFmtId="0" fontId="0" fillId="0" borderId="34" xfId="0" applyBorder="1" applyAlignment="1">
      <alignment horizontal="left" wrapText="1"/>
    </xf>
    <xf numFmtId="0" fontId="0" fillId="0" borderId="16" xfId="0" applyBorder="1" applyAlignment="1">
      <alignment horizontal="left" wrapText="1"/>
    </xf>
    <xf numFmtId="0" fontId="0" fillId="0" borderId="48" xfId="0" applyBorder="1" applyAlignment="1">
      <alignment horizontal="left" wrapText="1"/>
    </xf>
    <xf numFmtId="0" fontId="0" fillId="0" borderId="49" xfId="0" applyBorder="1" applyAlignment="1">
      <alignment horizontal="left" wrapText="1"/>
    </xf>
    <xf numFmtId="0" fontId="0" fillId="0" borderId="50" xfId="0" applyBorder="1" applyAlignment="1">
      <alignment horizontal="left" wrapText="1"/>
    </xf>
    <xf numFmtId="0" fontId="0" fillId="0" borderId="51" xfId="0" applyBorder="1" applyAlignment="1">
      <alignment horizontal="left"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9" fillId="0" borderId="27" xfId="1" applyFont="1" applyFill="1" applyBorder="1" applyAlignment="1" applyProtection="1">
      <alignment horizontal="center" vertical="center" wrapText="1"/>
      <protection locked="0"/>
    </xf>
    <xf numFmtId="1" fontId="0" fillId="0" borderId="0" xfId="0" applyNumberFormat="1" applyAlignment="1">
      <alignment horizontal="left" vertical="center" wrapText="1"/>
    </xf>
    <xf numFmtId="0" fontId="0" fillId="0" borderId="0" xfId="0" applyAlignment="1">
      <alignment horizontal="left" vertical="center" wrapText="1"/>
    </xf>
    <xf numFmtId="0" fontId="4" fillId="4" borderId="18"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12" fillId="0" borderId="0" xfId="1" applyFill="1" applyBorder="1" applyAlignment="1" applyProtection="1">
      <alignment horizontal="center" vertical="center" wrapText="1"/>
      <protection locked="0"/>
    </xf>
    <xf numFmtId="2" fontId="35" fillId="0" borderId="0" xfId="0" applyNumberFormat="1" applyFont="1" applyAlignment="1">
      <alignment horizontal="left" vertical="center" wrapText="1"/>
    </xf>
    <xf numFmtId="2" fontId="0" fillId="0" borderId="0" xfId="0" applyNumberFormat="1" applyAlignment="1">
      <alignment horizontal="left" vertical="center" wrapText="1"/>
    </xf>
    <xf numFmtId="2" fontId="24" fillId="0" borderId="0" xfId="0" applyNumberFormat="1" applyFont="1" applyAlignment="1">
      <alignment horizontal="left" vertical="center" wrapText="1"/>
    </xf>
    <xf numFmtId="0" fontId="0" fillId="0" borderId="0" xfId="0" quotePrefix="1" applyAlignment="1">
      <alignment horizontal="left" vertical="top" wrapText="1"/>
    </xf>
    <xf numFmtId="0" fontId="20" fillId="0" borderId="0" xfId="1" applyFont="1" applyFill="1" applyBorder="1" applyAlignment="1" applyProtection="1">
      <alignment horizontal="center" vertical="center" wrapText="1"/>
      <protection locked="0"/>
    </xf>
    <xf numFmtId="0" fontId="19" fillId="0" borderId="7" xfId="1" applyFont="1" applyFill="1" applyBorder="1" applyAlignment="1" applyProtection="1">
      <alignment horizontal="center" vertical="center" wrapText="1"/>
      <protection locked="0"/>
    </xf>
    <xf numFmtId="0" fontId="19" fillId="0" borderId="7" xfId="1" applyFont="1" applyFill="1" applyBorder="1" applyAlignment="1" applyProtection="1">
      <alignment horizontal="center" vertical="center" wrapText="1"/>
    </xf>
    <xf numFmtId="2" fontId="0" fillId="0" borderId="0" xfId="0" quotePrefix="1" applyNumberFormat="1" applyAlignment="1">
      <alignment horizontal="left" vertical="center" wrapText="1"/>
    </xf>
    <xf numFmtId="0" fontId="29" fillId="0" borderId="0" xfId="0" applyFont="1" applyAlignment="1">
      <alignment horizontal="left" vertical="center" wrapText="1"/>
    </xf>
    <xf numFmtId="0" fontId="0" fillId="0" borderId="0" xfId="0" quotePrefix="1" applyAlignment="1">
      <alignment horizontal="center" vertical="top"/>
    </xf>
    <xf numFmtId="0" fontId="15" fillId="0" borderId="0" xfId="0" quotePrefix="1" applyFont="1" applyFill="1" applyAlignment="1">
      <alignment vertical="top"/>
    </xf>
    <xf numFmtId="0" fontId="2" fillId="0" borderId="0" xfId="0" applyFont="1" applyAlignment="1">
      <alignment horizontal="left" vertical="center" wrapText="1"/>
    </xf>
  </cellXfs>
  <cellStyles count="4">
    <cellStyle name="Comma" xfId="3" builtinId="3"/>
    <cellStyle name="Input" xfId="1" builtinId="20"/>
    <cellStyle name="Normal" xfId="0" builtinId="0"/>
    <cellStyle name="Percent" xfId="2" builtinId="5"/>
  </cellStyles>
  <dxfs count="0"/>
  <tableStyles count="0" defaultTableStyle="TableStyleMedium2" defaultPivotStyle="PivotStyleLight16"/>
  <colors>
    <mruColors>
      <color rgb="FFE7CFFC"/>
      <color rgb="FFFAB332"/>
      <color rgb="FFFFC9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0.png"/><Relationship Id="rId1" Type="http://schemas.openxmlformats.org/officeDocument/2006/relationships/customXml" Target="../ink/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149684</xdr:rowOff>
    </xdr:from>
    <xdr:to>
      <xdr:col>1</xdr:col>
      <xdr:colOff>360</xdr:colOff>
      <xdr:row>9</xdr:row>
      <xdr:rowOff>150044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7A0FA10D-22B5-4FB7-A4BE-DA40E14A2DA5}"/>
                </a:ext>
              </a:extLst>
            </xdr14:cNvPr>
            <xdr14:cNvContentPartPr/>
          </xdr14:nvContentPartPr>
          <xdr14:nvPr macro=""/>
          <xdr14:xfrm>
            <a:off x="8542080" y="3699000"/>
            <a:ext cx="360" cy="360"/>
          </xdr14:xfrm>
        </xdr:contentPart>
      </mc:Choice>
      <mc:Fallback xmlns="">
        <xdr:pic>
          <xdr:nvPicPr>
            <xdr:cNvPr id="2" name="Ink 1">
              <a:extLst>
                <a:ext uri="{FF2B5EF4-FFF2-40B4-BE49-F238E27FC236}">
                  <a16:creationId xmlns:a16="http://schemas.microsoft.com/office/drawing/2014/main" id="{7A0FA10D-22B5-4FB7-A4BE-DA40E14A2DA5}"/>
                </a:ext>
              </a:extLst>
            </xdr:cNvPr>
            <xdr:cNvPicPr/>
          </xdr:nvPicPr>
          <xdr:blipFill>
            <a:blip xmlns:r="http://schemas.openxmlformats.org/officeDocument/2006/relationships" r:embed="rId2"/>
            <a:stretch>
              <a:fillRect/>
            </a:stretch>
          </xdr:blipFill>
          <xdr:spPr>
            <a:xfrm>
              <a:off x="8533080" y="3690360"/>
              <a:ext cx="18000" cy="18000"/>
            </a:xfrm>
            <a:prstGeom prst="rect">
              <a:avLst/>
            </a:prstGeom>
          </xdr:spPr>
        </xdr:pic>
      </mc:Fallback>
    </mc:AlternateContent>
    <xdr:clientData/>
  </xdr:twoCellAnchor>
  <xdr:twoCellAnchor editAs="oneCell">
    <xdr:from>
      <xdr:col>1</xdr:col>
      <xdr:colOff>0</xdr:colOff>
      <xdr:row>10</xdr:row>
      <xdr:rowOff>170204</xdr:rowOff>
    </xdr:from>
    <xdr:to>
      <xdr:col>1</xdr:col>
      <xdr:colOff>10520</xdr:colOff>
      <xdr:row>10</xdr:row>
      <xdr:rowOff>174374</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0FE1FF75-7B8A-4A2C-A4F0-C7CC44C5CEE3}"/>
                </a:ext>
              </a:extLst>
            </xdr14:cNvPr>
            <xdr14:cNvContentPartPr/>
          </xdr14:nvContentPartPr>
          <xdr14:nvPr macro=""/>
          <xdr14:xfrm>
            <a:off x="8111160" y="3719520"/>
            <a:ext cx="360" cy="360"/>
          </xdr14:xfrm>
        </xdr:contentPart>
      </mc:Choice>
      <mc:Fallback xmlns="">
        <xdr:pic>
          <xdr:nvPicPr>
            <xdr:cNvPr id="3" name="Ink 2">
              <a:extLst>
                <a:ext uri="{FF2B5EF4-FFF2-40B4-BE49-F238E27FC236}">
                  <a16:creationId xmlns:a16="http://schemas.microsoft.com/office/drawing/2014/main" id="{0FE1FF75-7B8A-4A2C-A4F0-C7CC44C5CEE3}"/>
                </a:ext>
              </a:extLst>
            </xdr:cNvPr>
            <xdr:cNvPicPr/>
          </xdr:nvPicPr>
          <xdr:blipFill>
            <a:blip xmlns:r="http://schemas.openxmlformats.org/officeDocument/2006/relationships" r:embed="rId2"/>
            <a:stretch>
              <a:fillRect/>
            </a:stretch>
          </xdr:blipFill>
          <xdr:spPr>
            <a:xfrm>
              <a:off x="8102160" y="371052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330200</xdr:colOff>
      <xdr:row>0</xdr:row>
      <xdr:rowOff>196850</xdr:rowOff>
    </xdr:from>
    <xdr:to>
      <xdr:col>3</xdr:col>
      <xdr:colOff>257174</xdr:colOff>
      <xdr:row>1</xdr:row>
      <xdr:rowOff>1125546</xdr:rowOff>
    </xdr:to>
    <xdr:pic>
      <xdr:nvPicPr>
        <xdr:cNvPr id="2" name="Picture 1">
          <a:extLst>
            <a:ext uri="{FF2B5EF4-FFF2-40B4-BE49-F238E27FC236}">
              <a16:creationId xmlns:a16="http://schemas.microsoft.com/office/drawing/2014/main" id="{79E8D4C6-2E47-4EBF-B2F9-9C10AFE41C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78675" y="196850"/>
          <a:ext cx="1698624" cy="14335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785003</xdr:colOff>
      <xdr:row>8</xdr:row>
      <xdr:rowOff>198407</xdr:rowOff>
    </xdr:from>
    <xdr:to>
      <xdr:col>10</xdr:col>
      <xdr:colOff>810882</xdr:colOff>
      <xdr:row>13</xdr:row>
      <xdr:rowOff>78383</xdr:rowOff>
    </xdr:to>
    <xdr:pic>
      <xdr:nvPicPr>
        <xdr:cNvPr id="2" name="Picture 1" descr="Narrow, bicycle-only dedicated path on a one-way street that allows bicyclists to ride in the opposite direction of vehicle traffic">
          <a:extLst>
            <a:ext uri="{FF2B5EF4-FFF2-40B4-BE49-F238E27FC236}">
              <a16:creationId xmlns:a16="http://schemas.microsoft.com/office/drawing/2014/main" id="{8569F84F-6F9C-C259-D1B3-1218075090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783"/>
        <a:stretch/>
      </xdr:blipFill>
      <xdr:spPr bwMode="auto">
        <a:xfrm>
          <a:off x="11749177" y="2424022"/>
          <a:ext cx="1811547" cy="872014"/>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783444</xdr:colOff>
      <xdr:row>27</xdr:row>
      <xdr:rowOff>94412</xdr:rowOff>
    </xdr:from>
    <xdr:to>
      <xdr:col>11</xdr:col>
      <xdr:colOff>189259</xdr:colOff>
      <xdr:row>31</xdr:row>
      <xdr:rowOff>1080</xdr:rowOff>
    </xdr:to>
    <xdr:pic>
      <xdr:nvPicPr>
        <xdr:cNvPr id="3" name="Picture 2" descr="Flex posts in a diamond shape around a planter in the center of the street for traffic calming">
          <a:extLst>
            <a:ext uri="{FF2B5EF4-FFF2-40B4-BE49-F238E27FC236}">
              <a16:creationId xmlns:a16="http://schemas.microsoft.com/office/drawing/2014/main" id="{DEF5318A-C6D3-B36A-6FF5-F30942CDD3C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4242"/>
        <a:stretch/>
      </xdr:blipFill>
      <xdr:spPr bwMode="auto">
        <a:xfrm>
          <a:off x="12984969" y="7533437"/>
          <a:ext cx="2196640" cy="878218"/>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6T14:09:53.907"/>
    </inkml:context>
    <inkml:brush xml:id="br0">
      <inkml:brushProperty name="width" value="0.05" units="cm"/>
      <inkml:brushProperty name="height" value="0.05" units="cm"/>
      <inkml:brushProperty name="ignorePressure" value="1"/>
    </inkml:brush>
  </inkml:definitions>
  <inkml:trace contextRef="#ctx0" brushRef="#br0">0 1,'0'0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09-16T14:09:54.614"/>
    </inkml:context>
    <inkml:brush xml:id="br0">
      <inkml:brushProperty name="width" value="0.05" units="cm"/>
      <inkml:brushProperty name="height" value="0.05" units="cm"/>
      <inkml:brushProperty name="ignorePressure" value="1"/>
    </inkml:brush>
  </inkml:definitions>
  <inkml:trace contextRef="#ctx0" brushRef="#br0">0 0,'0'0</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168D0-D3A8-4D07-A059-03D64C3347AC}">
  <sheetPr codeName="Sheet3">
    <tabColor theme="5" tint="-0.249977111117893"/>
    <pageSetUpPr fitToPage="1"/>
  </sheetPr>
  <dimension ref="A1:W35"/>
  <sheetViews>
    <sheetView zoomScaleNormal="100" zoomScaleSheetLayoutView="100" workbookViewId="0">
      <selection activeCell="A11" sqref="A11"/>
    </sheetView>
  </sheetViews>
  <sheetFormatPr defaultRowHeight="14.5" x14ac:dyDescent="0.35"/>
  <cols>
    <col min="1" max="1" width="98.08984375" style="2" customWidth="1"/>
    <col min="2" max="5" width="12.6328125" style="5" customWidth="1"/>
    <col min="6" max="6" width="14.36328125" style="3" bestFit="1" customWidth="1"/>
    <col min="7" max="7" width="12.6328125" style="5" customWidth="1"/>
    <col min="8" max="8" width="10.6328125" style="3" customWidth="1"/>
    <col min="9" max="12" width="12.6328125" style="5" customWidth="1"/>
    <col min="13" max="13" width="14.36328125" style="5" customWidth="1"/>
    <col min="14" max="15" width="12.6328125" style="5" customWidth="1"/>
    <col min="16" max="16" width="15.36328125" style="5" customWidth="1"/>
    <col min="17" max="17" width="12.6328125" style="5" customWidth="1"/>
    <col min="18" max="18" width="12.6328125" style="6" customWidth="1"/>
    <col min="19" max="19" width="23" style="1" customWidth="1"/>
    <col min="21" max="21" width="9.6328125" bestFit="1" customWidth="1"/>
    <col min="22" max="22" width="11.6328125" bestFit="1" customWidth="1"/>
  </cols>
  <sheetData>
    <row r="1" spans="1:23" ht="40.15" customHeight="1" x14ac:dyDescent="0.35">
      <c r="A1" s="229" t="s">
        <v>334</v>
      </c>
      <c r="B1"/>
      <c r="C1"/>
      <c r="D1"/>
      <c r="E1"/>
      <c r="F1"/>
      <c r="G1"/>
      <c r="H1"/>
      <c r="I1"/>
      <c r="J1"/>
      <c r="K1"/>
      <c r="L1"/>
      <c r="M1"/>
      <c r="N1"/>
      <c r="O1"/>
      <c r="P1"/>
      <c r="Q1"/>
      <c r="R1"/>
      <c r="S1"/>
    </row>
    <row r="2" spans="1:23" ht="60" customHeight="1" x14ac:dyDescent="0.35">
      <c r="A2" s="245" t="s">
        <v>328</v>
      </c>
      <c r="B2" s="44"/>
      <c r="C2" s="15"/>
      <c r="D2" s="7"/>
      <c r="E2" s="7"/>
      <c r="G2" s="7"/>
      <c r="I2" s="7"/>
      <c r="J2" s="7"/>
      <c r="K2" s="7"/>
      <c r="L2" s="7"/>
      <c r="M2" s="7"/>
      <c r="N2" s="7"/>
      <c r="O2" s="7"/>
      <c r="P2" s="7"/>
      <c r="Q2" s="7"/>
      <c r="R2" s="14"/>
      <c r="U2" s="9"/>
      <c r="V2" s="8"/>
    </row>
    <row r="3" spans="1:23" ht="30.15" customHeight="1" x14ac:dyDescent="0.35">
      <c r="A3" s="246" t="s">
        <v>329</v>
      </c>
      <c r="B3" s="7"/>
      <c r="C3" s="15"/>
      <c r="D3" s="7"/>
      <c r="E3" s="7"/>
      <c r="G3" s="7"/>
      <c r="I3" s="7"/>
      <c r="J3" s="7"/>
      <c r="K3" s="7"/>
      <c r="L3" s="7"/>
      <c r="M3" s="7"/>
      <c r="N3" s="7"/>
      <c r="O3" s="7"/>
      <c r="P3" s="7"/>
      <c r="Q3" s="7"/>
      <c r="R3" s="14"/>
      <c r="U3" s="9"/>
      <c r="V3" s="8"/>
    </row>
    <row r="4" spans="1:23" s="5" customFormat="1" ht="30.15" customHeight="1" x14ac:dyDescent="0.35">
      <c r="A4" s="246" t="s">
        <v>340</v>
      </c>
      <c r="F4" s="3"/>
      <c r="H4" s="3"/>
      <c r="R4" s="6"/>
      <c r="S4" s="1"/>
      <c r="T4"/>
      <c r="U4"/>
      <c r="V4"/>
      <c r="W4"/>
    </row>
    <row r="5" spans="1:23" s="5" customFormat="1" ht="30.15" customHeight="1" x14ac:dyDescent="0.35">
      <c r="A5" s="246" t="s">
        <v>330</v>
      </c>
      <c r="F5" s="3"/>
      <c r="H5" s="3"/>
      <c r="R5" s="6"/>
      <c r="S5" s="1"/>
      <c r="T5"/>
      <c r="U5"/>
      <c r="V5"/>
      <c r="W5"/>
    </row>
    <row r="6" spans="1:23" s="5" customFormat="1" ht="60" customHeight="1" x14ac:dyDescent="0.35">
      <c r="A6" s="74" t="s">
        <v>331</v>
      </c>
      <c r="F6" s="3"/>
      <c r="H6" s="3"/>
      <c r="R6" s="6"/>
      <c r="S6" s="1"/>
      <c r="T6"/>
      <c r="U6"/>
      <c r="V6"/>
      <c r="W6"/>
    </row>
    <row r="7" spans="1:23" s="5" customFormat="1" ht="48.15" customHeight="1" thickBot="1" x14ac:dyDescent="0.4">
      <c r="A7" s="244" t="s">
        <v>341</v>
      </c>
      <c r="F7" s="3"/>
      <c r="H7" s="3"/>
      <c r="R7" s="6"/>
      <c r="S7" s="1"/>
      <c r="T7"/>
      <c r="U7"/>
      <c r="V7"/>
      <c r="W7"/>
    </row>
    <row r="8" spans="1:23" s="5" customFormat="1" x14ac:dyDescent="0.35">
      <c r="A8" s="340" t="s">
        <v>347</v>
      </c>
      <c r="F8" s="3"/>
      <c r="H8" s="3"/>
      <c r="R8" s="6"/>
      <c r="S8" s="1"/>
      <c r="T8"/>
      <c r="U8"/>
      <c r="V8"/>
      <c r="W8"/>
    </row>
    <row r="9" spans="1:23" s="5" customFormat="1" x14ac:dyDescent="0.35">
      <c r="A9" s="79"/>
      <c r="F9" s="3"/>
      <c r="H9" s="3"/>
      <c r="R9" s="6"/>
      <c r="S9" s="1"/>
      <c r="T9"/>
      <c r="U9"/>
      <c r="V9"/>
      <c r="W9"/>
    </row>
    <row r="10" spans="1:23" s="5" customFormat="1" x14ac:dyDescent="0.35">
      <c r="A10" s="339"/>
      <c r="F10" s="3"/>
      <c r="H10" s="3"/>
      <c r="R10" s="6"/>
      <c r="S10" s="1"/>
      <c r="T10"/>
      <c r="U10"/>
      <c r="V10"/>
      <c r="W10"/>
    </row>
    <row r="11" spans="1:23" s="5" customFormat="1" x14ac:dyDescent="0.35">
      <c r="A11" s="10"/>
      <c r="F11" s="3"/>
      <c r="H11" s="3"/>
      <c r="R11" s="6"/>
      <c r="S11" s="1"/>
      <c r="T11"/>
      <c r="U11"/>
      <c r="V11"/>
      <c r="W11"/>
    </row>
    <row r="12" spans="1:23" s="5" customFormat="1" x14ac:dyDescent="0.35">
      <c r="A12" s="10"/>
      <c r="F12" s="3"/>
      <c r="H12" s="3"/>
      <c r="R12" s="6"/>
      <c r="S12" s="1"/>
      <c r="T12"/>
      <c r="U12"/>
      <c r="V12"/>
      <c r="W12"/>
    </row>
    <row r="13" spans="1:23" s="5" customFormat="1" x14ac:dyDescent="0.35">
      <c r="A13" s="10"/>
      <c r="F13" s="3"/>
      <c r="H13" s="3"/>
      <c r="R13" s="6"/>
      <c r="S13" s="1"/>
      <c r="T13"/>
      <c r="U13"/>
      <c r="V13"/>
      <c r="W13"/>
    </row>
    <row r="14" spans="1:23" x14ac:dyDescent="0.35">
      <c r="A14" s="10"/>
    </row>
    <row r="15" spans="1:23" ht="16.5" customHeight="1" x14ac:dyDescent="0.35">
      <c r="A15" s="10"/>
    </row>
    <row r="16" spans="1:23" s="4" customFormat="1" ht="16.5" customHeight="1" x14ac:dyDescent="0.35">
      <c r="A16" s="10"/>
      <c r="B16" s="5"/>
      <c r="C16" s="5"/>
      <c r="D16" s="5"/>
      <c r="E16" s="5"/>
      <c r="F16" s="3"/>
      <c r="G16" s="5"/>
      <c r="H16" s="3"/>
      <c r="I16" s="5"/>
      <c r="J16" s="5"/>
      <c r="K16" s="5"/>
      <c r="L16" s="5"/>
      <c r="M16" s="5"/>
      <c r="N16" s="5"/>
      <c r="O16" s="5"/>
      <c r="P16" s="5"/>
      <c r="Q16" s="5"/>
      <c r="R16" s="6"/>
      <c r="S16" s="1"/>
      <c r="T16"/>
      <c r="U16"/>
      <c r="V16"/>
      <c r="W16"/>
    </row>
    <row r="17" spans="1:23" s="4" customFormat="1" ht="16.5" customHeight="1" x14ac:dyDescent="0.35">
      <c r="A17" s="10"/>
      <c r="B17" s="5"/>
      <c r="C17" s="5"/>
      <c r="D17" s="5"/>
      <c r="E17" s="5"/>
      <c r="F17" s="3"/>
      <c r="G17" s="5"/>
      <c r="H17" s="3"/>
      <c r="I17" s="5"/>
      <c r="J17" s="5"/>
      <c r="K17" s="5"/>
      <c r="L17" s="5"/>
      <c r="M17" s="5"/>
      <c r="N17" s="5"/>
      <c r="O17" s="5"/>
      <c r="P17" s="5"/>
      <c r="Q17" s="5"/>
      <c r="R17" s="6"/>
      <c r="S17" s="1"/>
      <c r="T17"/>
      <c r="U17"/>
      <c r="V17"/>
      <c r="W17"/>
    </row>
    <row r="18" spans="1:23" s="4" customFormat="1" ht="16.5" customHeight="1" x14ac:dyDescent="0.35">
      <c r="A18" s="10"/>
      <c r="B18" s="5"/>
      <c r="C18" s="5"/>
      <c r="D18" s="5"/>
      <c r="E18" s="5"/>
      <c r="F18" s="3"/>
      <c r="G18" s="5"/>
      <c r="H18" s="3"/>
      <c r="I18" s="5"/>
      <c r="J18" s="5"/>
      <c r="K18" s="5"/>
      <c r="L18" s="5"/>
      <c r="M18" s="5"/>
      <c r="N18" s="5"/>
      <c r="O18" s="5"/>
      <c r="P18" s="5"/>
      <c r="Q18" s="5"/>
      <c r="R18" s="6"/>
      <c r="S18" s="1"/>
      <c r="T18"/>
      <c r="U18"/>
      <c r="V18"/>
      <c r="W18"/>
    </row>
    <row r="19" spans="1:23" s="4" customFormat="1" ht="16.5" customHeight="1" x14ac:dyDescent="0.35">
      <c r="A19" s="10"/>
      <c r="B19" s="5"/>
      <c r="C19" s="5"/>
      <c r="D19" s="5"/>
      <c r="E19" s="5"/>
      <c r="F19" s="3"/>
      <c r="G19" s="5"/>
      <c r="H19" s="3"/>
      <c r="I19" s="5"/>
      <c r="J19" s="5"/>
      <c r="K19" s="5"/>
      <c r="L19" s="5"/>
      <c r="M19" s="5"/>
      <c r="N19" s="5"/>
      <c r="O19" s="5"/>
      <c r="P19" s="5"/>
      <c r="Q19" s="5"/>
      <c r="R19" s="6"/>
      <c r="S19" s="1"/>
      <c r="T19"/>
      <c r="U19"/>
      <c r="V19"/>
      <c r="W19"/>
    </row>
    <row r="20" spans="1:23" s="4" customFormat="1" ht="16.5" customHeight="1" x14ac:dyDescent="0.35">
      <c r="A20" s="10"/>
      <c r="B20" s="5"/>
      <c r="C20" s="5"/>
      <c r="D20" s="5"/>
      <c r="E20" s="5"/>
      <c r="F20" s="3"/>
      <c r="G20" s="5"/>
      <c r="H20" s="3"/>
      <c r="I20" s="5"/>
      <c r="J20" s="5"/>
      <c r="K20" s="5"/>
      <c r="L20" s="5"/>
      <c r="M20" s="5"/>
      <c r="N20" s="5"/>
      <c r="O20" s="5"/>
      <c r="P20" s="5"/>
      <c r="Q20" s="5"/>
      <c r="R20" s="6"/>
      <c r="S20" s="1"/>
      <c r="T20"/>
      <c r="U20"/>
      <c r="V20"/>
      <c r="W20"/>
    </row>
    <row r="21" spans="1:23" s="4" customFormat="1" x14ac:dyDescent="0.35">
      <c r="A21" s="10"/>
      <c r="B21" s="5"/>
      <c r="C21" s="5"/>
      <c r="D21" s="5"/>
      <c r="E21" s="5"/>
      <c r="F21" s="3"/>
      <c r="G21" s="5"/>
      <c r="H21" s="3"/>
      <c r="I21" s="5"/>
      <c r="J21" s="5"/>
      <c r="K21" s="5"/>
      <c r="L21" s="5"/>
      <c r="M21" s="5"/>
      <c r="N21" s="5"/>
      <c r="O21" s="5"/>
      <c r="P21" s="5"/>
      <c r="Q21" s="5"/>
      <c r="R21" s="6"/>
      <c r="S21" s="1"/>
      <c r="T21"/>
      <c r="U21"/>
      <c r="V21"/>
      <c r="W21"/>
    </row>
    <row r="22" spans="1:23" s="4" customFormat="1" x14ac:dyDescent="0.35">
      <c r="A22" s="10"/>
      <c r="B22" s="5"/>
      <c r="C22" s="5"/>
      <c r="D22" s="5"/>
      <c r="E22" s="5"/>
      <c r="F22" s="3"/>
      <c r="G22" s="5"/>
      <c r="H22" s="3"/>
      <c r="I22" s="5"/>
      <c r="J22" s="5"/>
      <c r="K22" s="5"/>
      <c r="L22" s="5"/>
      <c r="M22" s="5"/>
      <c r="N22" s="5"/>
      <c r="O22" s="5"/>
      <c r="P22" s="5"/>
      <c r="Q22" s="5"/>
      <c r="R22" s="6"/>
      <c r="S22" s="1"/>
      <c r="T22"/>
      <c r="U22"/>
      <c r="V22"/>
      <c r="W22"/>
    </row>
    <row r="23" spans="1:23" s="4" customFormat="1" ht="29.25" customHeight="1" x14ac:dyDescent="0.35">
      <c r="A23" s="2"/>
      <c r="B23" s="5"/>
      <c r="C23" s="5"/>
      <c r="D23" s="5"/>
      <c r="E23" s="5"/>
      <c r="F23" s="3"/>
      <c r="G23" s="5"/>
      <c r="H23" s="3"/>
      <c r="I23" s="5"/>
      <c r="J23" s="5"/>
      <c r="K23" s="5"/>
      <c r="L23" s="5"/>
      <c r="M23" s="5"/>
      <c r="N23" s="5"/>
      <c r="O23" s="5"/>
      <c r="P23" s="5"/>
      <c r="Q23" s="5"/>
      <c r="R23" s="6"/>
      <c r="S23" s="1"/>
      <c r="T23"/>
      <c r="U23"/>
      <c r="V23"/>
      <c r="W23"/>
    </row>
    <row r="24" spans="1:23" s="4" customFormat="1" x14ac:dyDescent="0.35">
      <c r="A24" s="2"/>
      <c r="B24" s="5"/>
      <c r="C24" s="5"/>
      <c r="D24" s="5"/>
      <c r="E24" s="5"/>
      <c r="F24" s="3"/>
      <c r="G24" s="5"/>
      <c r="H24" s="3"/>
      <c r="I24" s="5"/>
      <c r="J24" s="5"/>
      <c r="K24" s="5"/>
      <c r="L24" s="5"/>
      <c r="M24" s="5"/>
      <c r="N24" s="5"/>
      <c r="O24" s="5"/>
      <c r="P24" s="5"/>
      <c r="Q24" s="5"/>
      <c r="R24" s="6"/>
      <c r="S24" s="1"/>
      <c r="T24"/>
      <c r="U24"/>
      <c r="V24"/>
      <c r="W24"/>
    </row>
    <row r="25" spans="1:23" s="4" customFormat="1" x14ac:dyDescent="0.35">
      <c r="A25" s="2"/>
      <c r="B25" s="5"/>
      <c r="C25" s="5"/>
      <c r="D25" s="5"/>
      <c r="E25" s="5"/>
      <c r="F25" s="3"/>
      <c r="G25" s="5"/>
      <c r="H25" s="3"/>
      <c r="I25" s="5"/>
      <c r="J25" s="5"/>
      <c r="K25" s="5"/>
      <c r="L25" s="5"/>
      <c r="M25" s="5"/>
      <c r="N25" s="5"/>
      <c r="O25" s="5"/>
      <c r="P25" s="5"/>
      <c r="Q25" s="5"/>
      <c r="R25" s="6"/>
      <c r="S25" s="1"/>
      <c r="T25"/>
      <c r="U25"/>
      <c r="V25"/>
      <c r="W25"/>
    </row>
    <row r="26" spans="1:23" s="4" customFormat="1" ht="15" customHeight="1" x14ac:dyDescent="0.35">
      <c r="A26" s="2"/>
      <c r="B26" s="5"/>
      <c r="C26" s="5"/>
      <c r="D26" s="5"/>
      <c r="E26" s="5"/>
      <c r="F26" s="3"/>
      <c r="G26" s="5"/>
      <c r="H26" s="3"/>
      <c r="I26" s="5"/>
      <c r="J26" s="5"/>
      <c r="K26" s="5"/>
      <c r="L26" s="5"/>
      <c r="M26" s="5"/>
      <c r="N26" s="5"/>
      <c r="O26" s="5"/>
      <c r="P26" s="5"/>
      <c r="Q26" s="5"/>
      <c r="R26" s="6"/>
      <c r="S26" s="1"/>
      <c r="T26"/>
      <c r="U26"/>
      <c r="V26"/>
      <c r="W26"/>
    </row>
    <row r="27" spans="1:23" s="4" customFormat="1" ht="15" customHeight="1" x14ac:dyDescent="0.35">
      <c r="A27" s="2"/>
      <c r="B27" s="5"/>
      <c r="C27" s="5"/>
      <c r="D27" s="5"/>
      <c r="E27" s="5"/>
      <c r="F27" s="3"/>
      <c r="G27" s="5"/>
      <c r="H27" s="3"/>
      <c r="I27" s="5"/>
      <c r="J27" s="5"/>
      <c r="K27" s="5"/>
      <c r="L27" s="5"/>
      <c r="M27" s="5"/>
      <c r="N27" s="5"/>
      <c r="O27" s="5"/>
      <c r="P27" s="5"/>
      <c r="Q27" s="5"/>
      <c r="R27" s="6"/>
      <c r="S27" s="1"/>
      <c r="T27"/>
      <c r="U27"/>
      <c r="V27"/>
      <c r="W27"/>
    </row>
    <row r="28" spans="1:23" s="4" customFormat="1" ht="15" customHeight="1" x14ac:dyDescent="0.35">
      <c r="A28" s="2"/>
      <c r="B28" s="5"/>
      <c r="C28" s="5"/>
      <c r="D28" s="5"/>
      <c r="E28" s="5"/>
      <c r="F28" s="3"/>
      <c r="G28" s="5"/>
      <c r="H28" s="3"/>
      <c r="I28" s="5"/>
      <c r="J28" s="5"/>
      <c r="K28" s="5"/>
      <c r="L28" s="5"/>
      <c r="M28" s="5"/>
      <c r="N28" s="5"/>
      <c r="O28" s="5"/>
      <c r="P28" s="5"/>
      <c r="Q28" s="5"/>
      <c r="R28" s="6"/>
      <c r="S28" s="1"/>
      <c r="T28"/>
      <c r="U28"/>
      <c r="V28"/>
      <c r="W28"/>
    </row>
    <row r="29" spans="1:23" s="4" customFormat="1" ht="15" customHeight="1" x14ac:dyDescent="0.35">
      <c r="A29" s="2"/>
      <c r="B29" s="5"/>
      <c r="C29" s="5"/>
      <c r="D29" s="5"/>
      <c r="E29" s="5"/>
      <c r="F29" s="3"/>
      <c r="G29" s="5"/>
      <c r="H29" s="3"/>
      <c r="I29" s="5"/>
      <c r="J29" s="5"/>
      <c r="K29" s="5"/>
      <c r="L29" s="5"/>
      <c r="M29" s="5"/>
      <c r="N29" s="5"/>
      <c r="O29" s="5"/>
      <c r="P29" s="5"/>
      <c r="Q29" s="5"/>
      <c r="R29" s="6"/>
      <c r="S29" s="1"/>
      <c r="T29"/>
      <c r="U29"/>
      <c r="V29"/>
      <c r="W29"/>
    </row>
    <row r="30" spans="1:23" s="4" customFormat="1" ht="15" customHeight="1" x14ac:dyDescent="0.35">
      <c r="A30" s="2"/>
      <c r="B30" s="5"/>
      <c r="C30" s="5"/>
      <c r="D30" s="5"/>
      <c r="E30" s="5"/>
      <c r="F30" s="3"/>
      <c r="G30" s="5"/>
      <c r="H30" s="3"/>
      <c r="I30" s="5"/>
      <c r="J30" s="5"/>
      <c r="K30" s="5"/>
      <c r="L30" s="5"/>
      <c r="M30" s="5"/>
      <c r="N30" s="5"/>
      <c r="O30" s="5"/>
      <c r="P30" s="5"/>
      <c r="Q30" s="5"/>
      <c r="R30" s="6"/>
      <c r="S30" s="1"/>
      <c r="T30"/>
      <c r="U30"/>
      <c r="V30"/>
      <c r="W30"/>
    </row>
    <row r="31" spans="1:23" s="4" customFormat="1" ht="15" customHeight="1" x14ac:dyDescent="0.35">
      <c r="A31" s="2"/>
      <c r="B31" s="5"/>
      <c r="C31" s="5"/>
      <c r="D31" s="5"/>
      <c r="E31" s="5"/>
      <c r="F31" s="3"/>
      <c r="G31" s="5"/>
      <c r="H31" s="3"/>
      <c r="I31" s="5"/>
      <c r="J31" s="5"/>
      <c r="K31" s="5"/>
      <c r="L31" s="5"/>
      <c r="M31" s="5"/>
      <c r="N31" s="5"/>
      <c r="O31" s="5"/>
      <c r="P31" s="5"/>
      <c r="Q31" s="5"/>
      <c r="R31" s="6"/>
      <c r="S31" s="1"/>
      <c r="T31"/>
      <c r="U31"/>
      <c r="V31"/>
      <c r="W31"/>
    </row>
    <row r="32" spans="1:23" s="4" customFormat="1" ht="15" customHeight="1" x14ac:dyDescent="0.35">
      <c r="A32" s="2"/>
      <c r="B32" s="5"/>
      <c r="C32" s="5"/>
      <c r="D32" s="5"/>
      <c r="E32" s="5"/>
      <c r="F32" s="3"/>
      <c r="G32" s="5"/>
      <c r="H32" s="3"/>
      <c r="I32" s="5"/>
      <c r="J32" s="5"/>
      <c r="K32" s="5"/>
      <c r="L32" s="5"/>
      <c r="M32" s="5"/>
      <c r="N32" s="5"/>
      <c r="O32" s="5"/>
      <c r="P32" s="5"/>
      <c r="Q32" s="5"/>
      <c r="R32" s="6"/>
      <c r="S32" s="1"/>
      <c r="T32"/>
      <c r="U32"/>
      <c r="V32"/>
      <c r="W32"/>
    </row>
    <row r="33" spans="1:23" s="4" customFormat="1" ht="15" customHeight="1" x14ac:dyDescent="0.35">
      <c r="A33" s="2"/>
      <c r="B33" s="5"/>
      <c r="C33" s="5"/>
      <c r="D33" s="5"/>
      <c r="E33" s="5"/>
      <c r="F33" s="3"/>
      <c r="G33" s="5"/>
      <c r="H33" s="3"/>
      <c r="I33" s="5"/>
      <c r="J33" s="5"/>
      <c r="K33" s="5"/>
      <c r="L33" s="5"/>
      <c r="M33" s="5"/>
      <c r="N33" s="5"/>
      <c r="O33" s="5"/>
      <c r="P33" s="5"/>
      <c r="Q33" s="5"/>
      <c r="R33" s="6"/>
      <c r="S33" s="1"/>
      <c r="T33"/>
      <c r="U33"/>
      <c r="V33"/>
      <c r="W33"/>
    </row>
    <row r="34" spans="1:23" s="4" customFormat="1" ht="15" customHeight="1" x14ac:dyDescent="0.35">
      <c r="A34" s="2"/>
      <c r="B34" s="5"/>
      <c r="C34" s="5"/>
      <c r="D34" s="5"/>
      <c r="E34" s="5"/>
      <c r="F34" s="3"/>
      <c r="G34" s="5"/>
      <c r="H34" s="3"/>
      <c r="I34" s="5"/>
      <c r="J34" s="5"/>
      <c r="K34" s="5"/>
      <c r="L34" s="5"/>
      <c r="M34" s="5"/>
      <c r="N34" s="5"/>
      <c r="O34" s="5"/>
      <c r="P34" s="5"/>
      <c r="Q34" s="5"/>
      <c r="R34" s="6"/>
      <c r="S34" s="1"/>
      <c r="T34"/>
      <c r="U34"/>
      <c r="V34"/>
      <c r="W34"/>
    </row>
    <row r="35" spans="1:23" s="4" customFormat="1" ht="15" customHeight="1" x14ac:dyDescent="0.35">
      <c r="A35" s="2"/>
      <c r="B35" s="5"/>
      <c r="C35" s="5"/>
      <c r="D35" s="5"/>
      <c r="E35" s="5"/>
      <c r="F35" s="3"/>
      <c r="G35" s="5"/>
      <c r="H35" s="3"/>
      <c r="I35" s="5"/>
      <c r="J35" s="5"/>
      <c r="K35" s="5"/>
      <c r="L35" s="5"/>
      <c r="M35" s="5"/>
      <c r="N35" s="5"/>
      <c r="O35" s="5"/>
      <c r="P35" s="5"/>
      <c r="Q35" s="5"/>
      <c r="R35" s="6"/>
      <c r="S35" s="1"/>
      <c r="T35"/>
      <c r="U35"/>
      <c r="V35"/>
      <c r="W35"/>
    </row>
  </sheetData>
  <sheetProtection algorithmName="SHA-512" hashValue="u1EtfDd2Sn+kHDJU259cQOtehu/qQG3J56ZgHrLqF5TneoQ75tCgop5qE8I5CUWiwyjl2XDYefCgb4lJ3z42sA==" saltValue="rmm864wJL9SMwQZR3rbqRg==" spinCount="100000" sheet="1" objects="1" scenarios="1"/>
  <phoneticPr fontId="13" type="noConversion"/>
  <pageMargins left="0.25" right="0.25" top="0.75" bottom="0.75" header="0.3" footer="0.3"/>
  <pageSetup fitToHeight="0" orientation="portrait" r:id="rId1"/>
  <headerFooter>
    <oddHeader>&amp;A</oddHeader>
    <oddFooter>Page &amp;P of &amp;N</oddFooter>
  </headerFooter>
  <rowBreaks count="1" manualBreakCount="1">
    <brk id="20"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CC2C-D879-425F-B4C6-495A52C359F3}">
  <sheetPr codeName="Sheet13">
    <pageSetUpPr fitToPage="1"/>
  </sheetPr>
  <dimension ref="A1:AH46"/>
  <sheetViews>
    <sheetView zoomScaleNormal="100" workbookViewId="0">
      <selection activeCell="B44" sqref="B44"/>
    </sheetView>
  </sheetViews>
  <sheetFormatPr defaultRowHeight="14.5" x14ac:dyDescent="0.35"/>
  <cols>
    <col min="1" max="1" width="8.6328125" style="2" customWidth="1"/>
    <col min="2" max="2" width="39.6328125" style="1" customWidth="1"/>
    <col min="3" max="3" width="12.6328125" style="4" customWidth="1"/>
    <col min="4" max="4" width="9.6328125" style="4" customWidth="1"/>
    <col min="5" max="7" width="12.6328125" style="3" customWidth="1"/>
    <col min="8" max="8" width="10.36328125" style="4" customWidth="1"/>
    <col min="9" max="9" width="55.6328125" style="5" customWidth="1"/>
    <col min="10" max="10" width="25.90625" style="5" customWidth="1"/>
    <col min="11" max="11" width="14" style="5" customWidth="1"/>
    <col min="12" max="16" width="12.6328125" style="5" customWidth="1"/>
    <col min="17" max="17" width="14.36328125" style="3" bestFit="1" customWidth="1"/>
    <col min="18" max="18" width="12.6328125" style="5" customWidth="1"/>
    <col min="19" max="19" width="10.6328125" style="3" customWidth="1"/>
    <col min="20" max="23" width="12.6328125" style="5" customWidth="1"/>
    <col min="24" max="24" width="14.36328125" style="5" customWidth="1"/>
    <col min="25" max="26" width="12.6328125" style="5" customWidth="1"/>
    <col min="27" max="27" width="15.36328125" style="5" customWidth="1"/>
    <col min="28" max="28" width="12.6328125" style="5" customWidth="1"/>
    <col min="29" max="29" width="12.6328125" style="6" customWidth="1"/>
    <col min="30" max="30" width="23" style="1" customWidth="1"/>
    <col min="32" max="32" width="9.6328125" bestFit="1" customWidth="1"/>
    <col min="33" max="33" width="11.6328125" bestFit="1" customWidth="1"/>
  </cols>
  <sheetData>
    <row r="1" spans="1:34" ht="15" thickBot="1" x14ac:dyDescent="0.4">
      <c r="A1" s="51"/>
      <c r="C1" s="2"/>
      <c r="H1" s="2"/>
      <c r="I1" s="116" t="s">
        <v>85</v>
      </c>
      <c r="J1" s="116"/>
      <c r="K1" s="116"/>
      <c r="L1" s="7"/>
      <c r="M1" s="7"/>
      <c r="N1" s="15"/>
      <c r="O1" s="7"/>
      <c r="P1" s="7"/>
      <c r="R1" s="7"/>
      <c r="T1" s="7"/>
      <c r="U1" s="7"/>
      <c r="V1" s="7"/>
      <c r="W1" s="7"/>
      <c r="X1" s="7"/>
      <c r="Y1" s="7"/>
      <c r="Z1" s="7"/>
      <c r="AA1" s="7"/>
      <c r="AB1" s="7"/>
      <c r="AC1" s="14"/>
      <c r="AD1" s="13"/>
      <c r="AF1" s="9"/>
      <c r="AG1" s="8"/>
    </row>
    <row r="2" spans="1:34" ht="48.25" customHeight="1" thickBot="1" x14ac:dyDescent="0.4">
      <c r="A2" s="10"/>
      <c r="B2" s="325" t="s">
        <v>123</v>
      </c>
      <c r="C2" s="326"/>
      <c r="D2" s="326"/>
      <c r="E2" s="326"/>
      <c r="F2" s="326"/>
      <c r="G2" s="327"/>
      <c r="H2" s="10"/>
      <c r="I2" s="276" t="s">
        <v>87</v>
      </c>
      <c r="J2" s="276"/>
      <c r="K2" s="276"/>
      <c r="L2" s="48"/>
      <c r="M2" s="48"/>
      <c r="N2" s="48"/>
      <c r="O2" s="48"/>
      <c r="P2" s="48"/>
      <c r="Q2" s="48"/>
    </row>
    <row r="3" spans="1:34" s="5" customFormat="1" ht="8.15" customHeight="1" thickBot="1" x14ac:dyDescent="0.4">
      <c r="A3" s="10"/>
      <c r="B3" s="334" t="s">
        <v>116</v>
      </c>
      <c r="C3" s="334"/>
      <c r="D3" s="334"/>
      <c r="E3" s="334"/>
      <c r="F3" s="334"/>
      <c r="G3" s="334"/>
      <c r="H3" s="10"/>
      <c r="I3" s="48"/>
      <c r="J3" s="48"/>
      <c r="K3" s="48"/>
      <c r="L3" s="48"/>
      <c r="M3" s="48"/>
      <c r="N3" s="48"/>
      <c r="O3" s="48"/>
      <c r="P3" s="48"/>
      <c r="Q3" s="48"/>
      <c r="S3" s="3"/>
      <c r="AC3" s="6"/>
      <c r="AD3" s="1"/>
      <c r="AE3"/>
      <c r="AF3"/>
      <c r="AG3"/>
      <c r="AH3"/>
    </row>
    <row r="4" spans="1:34" s="5" customFormat="1" ht="29" customHeight="1" x14ac:dyDescent="0.35">
      <c r="A4" s="10"/>
      <c r="B4" s="127" t="s">
        <v>124</v>
      </c>
      <c r="C4" s="123"/>
      <c r="D4" s="123"/>
      <c r="E4" s="138" t="s">
        <v>75</v>
      </c>
      <c r="F4" s="123"/>
      <c r="G4" s="226"/>
      <c r="H4" s="10"/>
      <c r="I4" s="10"/>
      <c r="Q4" s="3"/>
      <c r="S4" s="3"/>
      <c r="AC4" s="6"/>
      <c r="AD4" s="1"/>
      <c r="AE4"/>
      <c r="AF4"/>
      <c r="AG4"/>
      <c r="AH4"/>
    </row>
    <row r="5" spans="1:34" s="5" customFormat="1" ht="16" customHeight="1" x14ac:dyDescent="0.35">
      <c r="A5" s="10"/>
      <c r="B5" s="61" t="s">
        <v>76</v>
      </c>
      <c r="C5" s="62" t="s">
        <v>77</v>
      </c>
      <c r="E5" s="223">
        <v>0</v>
      </c>
      <c r="F5" s="62"/>
      <c r="G5" s="60"/>
      <c r="H5" s="10"/>
      <c r="I5" s="10" t="s">
        <v>90</v>
      </c>
      <c r="Q5" s="3"/>
      <c r="S5" s="3"/>
      <c r="AC5" s="6"/>
      <c r="AD5" s="1"/>
      <c r="AE5"/>
      <c r="AF5"/>
      <c r="AG5"/>
      <c r="AH5"/>
    </row>
    <row r="6" spans="1:34" s="5" customFormat="1" ht="16" customHeight="1" x14ac:dyDescent="0.35">
      <c r="A6" s="10"/>
      <c r="B6" s="61" t="s">
        <v>76</v>
      </c>
      <c r="C6" s="62" t="s">
        <v>31</v>
      </c>
      <c r="E6" s="117">
        <f>E5*5280</f>
        <v>0</v>
      </c>
      <c r="F6" s="62"/>
      <c r="G6" s="60"/>
      <c r="H6" s="10"/>
      <c r="I6" s="10" t="s">
        <v>93</v>
      </c>
      <c r="Q6" s="3"/>
      <c r="S6" s="3"/>
      <c r="AC6" s="6"/>
      <c r="AD6" s="1"/>
      <c r="AE6"/>
      <c r="AF6"/>
      <c r="AG6"/>
      <c r="AH6"/>
    </row>
    <row r="7" spans="1:34" s="5" customFormat="1" ht="28.5" customHeight="1" x14ac:dyDescent="0.35">
      <c r="A7" s="10"/>
      <c r="B7" s="61" t="s">
        <v>213</v>
      </c>
      <c r="C7" s="62" t="s">
        <v>272</v>
      </c>
      <c r="D7" s="251"/>
      <c r="E7" s="224" t="s">
        <v>212</v>
      </c>
      <c r="F7" s="62"/>
      <c r="G7" s="60"/>
      <c r="H7" s="10"/>
      <c r="I7" s="10" t="s">
        <v>310</v>
      </c>
      <c r="K7" s="211" t="s">
        <v>26</v>
      </c>
      <c r="Q7" s="3"/>
      <c r="S7" s="3"/>
      <c r="AC7" s="6"/>
      <c r="AD7" s="1"/>
      <c r="AE7"/>
      <c r="AF7"/>
      <c r="AG7"/>
      <c r="AH7"/>
    </row>
    <row r="8" spans="1:34" s="5" customFormat="1" ht="16" customHeight="1" x14ac:dyDescent="0.35">
      <c r="A8" s="10"/>
      <c r="B8" s="22" t="s">
        <v>78</v>
      </c>
      <c r="C8" s="2" t="s">
        <v>28</v>
      </c>
      <c r="E8" s="134">
        <v>0</v>
      </c>
      <c r="F8" s="62"/>
      <c r="G8" s="60"/>
      <c r="H8" s="10"/>
      <c r="I8" s="10" t="s">
        <v>94</v>
      </c>
      <c r="Q8" s="3"/>
      <c r="S8" s="3"/>
      <c r="AC8" s="6"/>
      <c r="AD8" s="1"/>
      <c r="AE8"/>
      <c r="AF8"/>
      <c r="AG8"/>
      <c r="AH8"/>
    </row>
    <row r="9" spans="1:34" s="5" customFormat="1" ht="16" customHeight="1" x14ac:dyDescent="0.35">
      <c r="A9" s="10"/>
      <c r="B9" s="23" t="s">
        <v>79</v>
      </c>
      <c r="C9" s="34" t="s">
        <v>31</v>
      </c>
      <c r="E9" s="134">
        <v>0</v>
      </c>
      <c r="F9" s="7"/>
      <c r="G9" s="60"/>
      <c r="H9" s="10"/>
      <c r="I9" s="10" t="s">
        <v>96</v>
      </c>
      <c r="Q9" s="3"/>
      <c r="S9" s="3"/>
      <c r="AC9" s="6"/>
      <c r="AD9" s="1"/>
      <c r="AE9"/>
      <c r="AF9"/>
      <c r="AG9"/>
      <c r="AH9"/>
    </row>
    <row r="10" spans="1:34" s="5" customFormat="1" ht="16" customHeight="1" x14ac:dyDescent="0.35">
      <c r="A10" s="10"/>
      <c r="B10" s="23"/>
      <c r="C10" s="34"/>
      <c r="F10" s="7"/>
      <c r="G10" s="60"/>
      <c r="H10" s="10"/>
      <c r="I10" s="10"/>
      <c r="Q10" s="3"/>
      <c r="S10" s="3"/>
      <c r="AC10" s="6"/>
      <c r="AD10" s="1"/>
      <c r="AE10"/>
      <c r="AF10"/>
      <c r="AG10"/>
      <c r="AH10"/>
    </row>
    <row r="11" spans="1:34" s="5" customFormat="1" ht="16" customHeight="1" x14ac:dyDescent="0.35">
      <c r="A11" s="10"/>
      <c r="B11" s="61" t="s">
        <v>211</v>
      </c>
      <c r="C11" s="228" t="s">
        <v>271</v>
      </c>
      <c r="D11" s="227"/>
      <c r="E11" s="224" t="s">
        <v>212</v>
      </c>
      <c r="F11" s="7"/>
      <c r="G11" s="60"/>
      <c r="H11" s="10"/>
      <c r="I11" s="40" t="s">
        <v>216</v>
      </c>
      <c r="Q11" s="3"/>
      <c r="S11" s="3"/>
      <c r="AC11" s="6"/>
      <c r="AD11" s="1"/>
      <c r="AE11"/>
      <c r="AF11"/>
      <c r="AG11"/>
      <c r="AH11"/>
    </row>
    <row r="12" spans="1:34" s="5" customFormat="1" ht="16" customHeight="1" x14ac:dyDescent="0.35">
      <c r="A12" s="10"/>
      <c r="B12" s="23" t="s">
        <v>125</v>
      </c>
      <c r="C12" s="34" t="s">
        <v>31</v>
      </c>
      <c r="E12" s="134">
        <v>0</v>
      </c>
      <c r="F12" s="26"/>
      <c r="G12" s="60"/>
      <c r="H12" s="10"/>
      <c r="I12" s="37" t="s">
        <v>311</v>
      </c>
      <c r="J12" s="210"/>
      <c r="K12" s="210"/>
      <c r="Q12" s="3"/>
      <c r="S12" s="3"/>
      <c r="AC12" s="6"/>
      <c r="AD12" s="1"/>
      <c r="AE12"/>
      <c r="AF12"/>
      <c r="AG12"/>
      <c r="AH12"/>
    </row>
    <row r="13" spans="1:34" s="5" customFormat="1" ht="16" customHeight="1" x14ac:dyDescent="0.35">
      <c r="A13" s="10"/>
      <c r="B13" s="23" t="s">
        <v>126</v>
      </c>
      <c r="C13" s="34" t="s">
        <v>28</v>
      </c>
      <c r="E13" s="142">
        <v>0</v>
      </c>
      <c r="F13" s="26"/>
      <c r="G13" s="60"/>
      <c r="H13" s="10"/>
      <c r="I13" s="10" t="s">
        <v>312</v>
      </c>
      <c r="Q13" s="3"/>
      <c r="S13" s="3"/>
      <c r="AC13" s="6"/>
      <c r="AD13" s="1"/>
      <c r="AE13"/>
      <c r="AF13"/>
      <c r="AG13"/>
      <c r="AH13"/>
    </row>
    <row r="14" spans="1:34" s="5" customFormat="1" ht="29" customHeight="1" x14ac:dyDescent="0.35">
      <c r="A14" s="10"/>
      <c r="B14" s="96" t="s">
        <v>25</v>
      </c>
      <c r="C14" s="97"/>
      <c r="D14" s="85"/>
      <c r="E14" s="97" t="s">
        <v>75</v>
      </c>
      <c r="F14" s="97" t="s">
        <v>97</v>
      </c>
      <c r="G14" s="218" t="s">
        <v>98</v>
      </c>
      <c r="H14" s="10"/>
      <c r="I14" s="10"/>
      <c r="J14" s="284" t="s">
        <v>26</v>
      </c>
      <c r="Q14" s="3"/>
      <c r="S14" s="3"/>
      <c r="AC14" s="6"/>
      <c r="AD14" s="1"/>
      <c r="AE14"/>
      <c r="AF14"/>
      <c r="AG14"/>
      <c r="AH14"/>
    </row>
    <row r="15" spans="1:34" s="5" customFormat="1" ht="16" customHeight="1" x14ac:dyDescent="0.35">
      <c r="A15" s="10"/>
      <c r="B15" s="23" t="s">
        <v>27</v>
      </c>
      <c r="C15" s="34" t="s">
        <v>28</v>
      </c>
      <c r="D15" s="34"/>
      <c r="E15" s="63">
        <f>E6/(5280/4)+E8</f>
        <v>0</v>
      </c>
      <c r="F15" s="190">
        <f>'Master List of Items'!E18</f>
        <v>300</v>
      </c>
      <c r="G15" s="60">
        <f>F15*E15</f>
        <v>0</v>
      </c>
      <c r="H15" s="10"/>
      <c r="I15" s="10" t="s">
        <v>313</v>
      </c>
      <c r="Q15" s="3"/>
      <c r="S15" s="3"/>
      <c r="AC15" s="6"/>
      <c r="AD15" s="1"/>
      <c r="AE15"/>
      <c r="AF15"/>
      <c r="AG15"/>
      <c r="AH15"/>
    </row>
    <row r="16" spans="1:34" s="5" customFormat="1" ht="16" customHeight="1" x14ac:dyDescent="0.35">
      <c r="A16" s="10"/>
      <c r="B16" s="32" t="s">
        <v>30</v>
      </c>
      <c r="C16" s="34" t="s">
        <v>31</v>
      </c>
      <c r="D16" s="34"/>
      <c r="E16" s="117">
        <f>IF(E7="YES", E6*2-E8*E9*2, 0)</f>
        <v>0</v>
      </c>
      <c r="F16" s="190">
        <f>'Master List of Items'!E20</f>
        <v>5</v>
      </c>
      <c r="G16" s="60">
        <f>F16*E16</f>
        <v>0</v>
      </c>
      <c r="H16" s="10"/>
      <c r="I16" s="10" t="s">
        <v>309</v>
      </c>
      <c r="L16" s="5" t="s">
        <v>26</v>
      </c>
      <c r="Q16" s="3"/>
      <c r="S16" s="3"/>
      <c r="AC16" s="6"/>
      <c r="AD16" s="1"/>
      <c r="AE16"/>
      <c r="AF16"/>
      <c r="AG16"/>
      <c r="AH16"/>
    </row>
    <row r="17" spans="1:34" s="5" customFormat="1" ht="16" customHeight="1" x14ac:dyDescent="0.35">
      <c r="A17" s="10"/>
      <c r="B17" s="32" t="s">
        <v>34</v>
      </c>
      <c r="C17" s="34" t="s">
        <v>31</v>
      </c>
      <c r="D17" s="34"/>
      <c r="E17" s="117">
        <f>IF(E11="YES", E12*2-E13*E9, 0)</f>
        <v>0</v>
      </c>
      <c r="F17" s="190">
        <f>'Master List of Items'!E21</f>
        <v>1.25</v>
      </c>
      <c r="G17" s="60">
        <f>F17*E17</f>
        <v>0</v>
      </c>
      <c r="H17" s="10"/>
      <c r="I17" s="10" t="s">
        <v>314</v>
      </c>
      <c r="Q17" s="3"/>
      <c r="S17" s="3"/>
      <c r="AC17" s="6"/>
      <c r="AD17" s="1"/>
      <c r="AE17"/>
      <c r="AF17"/>
      <c r="AG17"/>
      <c r="AH17"/>
    </row>
    <row r="18" spans="1:34" s="5" customFormat="1" ht="16" customHeight="1" x14ac:dyDescent="0.35">
      <c r="A18" s="10"/>
      <c r="B18" s="32" t="s">
        <v>81</v>
      </c>
      <c r="C18" s="34" t="s">
        <v>36</v>
      </c>
      <c r="D18" s="34"/>
      <c r="E18" s="63">
        <f>E8*(E9+10+10)*6</f>
        <v>0</v>
      </c>
      <c r="F18" s="190">
        <f>'Master List of Items'!E22</f>
        <v>5</v>
      </c>
      <c r="G18" s="60">
        <f>F18*E18</f>
        <v>0</v>
      </c>
      <c r="H18" s="10"/>
      <c r="I18" s="36" t="s">
        <v>315</v>
      </c>
      <c r="Q18" s="3"/>
      <c r="S18" s="3"/>
      <c r="AC18" s="6"/>
      <c r="AD18" s="1"/>
      <c r="AE18"/>
      <c r="AF18"/>
      <c r="AG18"/>
      <c r="AH18"/>
    </row>
    <row r="19" spans="1:34" ht="29" customHeight="1" x14ac:dyDescent="0.35">
      <c r="B19" s="96" t="s">
        <v>37</v>
      </c>
      <c r="C19" s="97" t="s">
        <v>226</v>
      </c>
      <c r="D19" s="98" t="s">
        <v>228</v>
      </c>
      <c r="E19" s="126" t="s">
        <v>75</v>
      </c>
      <c r="F19" s="99" t="s">
        <v>97</v>
      </c>
      <c r="G19" s="218" t="s">
        <v>98</v>
      </c>
      <c r="I19" s="10"/>
    </row>
    <row r="20" spans="1:34" ht="16" customHeight="1" x14ac:dyDescent="0.35">
      <c r="B20" s="52" t="s">
        <v>42</v>
      </c>
      <c r="C20" s="25" t="s">
        <v>43</v>
      </c>
      <c r="D20" s="33">
        <v>1.3</v>
      </c>
      <c r="E20" s="118">
        <v>0</v>
      </c>
      <c r="F20" s="26">
        <f>'Master List of Items'!E30</f>
        <v>500</v>
      </c>
      <c r="G20" s="60">
        <f t="shared" ref="G20:G23" si="0">E20*F20*D20</f>
        <v>0</v>
      </c>
      <c r="I20" s="36" t="s">
        <v>316</v>
      </c>
    </row>
    <row r="21" spans="1:34" ht="16" customHeight="1" x14ac:dyDescent="0.35">
      <c r="B21" s="52" t="s">
        <v>44</v>
      </c>
      <c r="C21" s="25" t="s">
        <v>43</v>
      </c>
      <c r="D21" s="33">
        <v>1.3</v>
      </c>
      <c r="E21" s="118">
        <v>0</v>
      </c>
      <c r="F21" s="26">
        <f>'Master List of Items'!E31</f>
        <v>500</v>
      </c>
      <c r="G21" s="60">
        <f t="shared" si="0"/>
        <v>0</v>
      </c>
      <c r="I21" s="36" t="s">
        <v>316</v>
      </c>
    </row>
    <row r="22" spans="1:34" ht="16" customHeight="1" x14ac:dyDescent="0.35">
      <c r="B22" s="52" t="s">
        <v>45</v>
      </c>
      <c r="C22" s="25" t="s">
        <v>46</v>
      </c>
      <c r="D22" s="33">
        <v>7.5</v>
      </c>
      <c r="E22" s="117">
        <f>IF(AND(E7="YES", E11="YES"), E8*2, E8)</f>
        <v>0</v>
      </c>
      <c r="F22" s="26">
        <f>'Master List of Items'!E32</f>
        <v>500</v>
      </c>
      <c r="G22" s="60">
        <f>E22*F22*D22</f>
        <v>0</v>
      </c>
      <c r="I22" s="36" t="s">
        <v>317</v>
      </c>
    </row>
    <row r="23" spans="1:34" ht="16" customHeight="1" x14ac:dyDescent="0.35">
      <c r="B23" s="52" t="s">
        <v>47</v>
      </c>
      <c r="C23" s="25" t="s">
        <v>48</v>
      </c>
      <c r="D23" s="33">
        <v>6.25</v>
      </c>
      <c r="E23" s="119">
        <v>0</v>
      </c>
      <c r="F23" s="26">
        <f>'Master List of Items'!E33</f>
        <v>500</v>
      </c>
      <c r="G23" s="60">
        <f t="shared" si="0"/>
        <v>0</v>
      </c>
      <c r="I23" s="36" t="s">
        <v>316</v>
      </c>
    </row>
    <row r="24" spans="1:34" ht="16" customHeight="1" x14ac:dyDescent="0.35">
      <c r="B24" s="52" t="s">
        <v>246</v>
      </c>
      <c r="C24" s="25" t="s">
        <v>43</v>
      </c>
      <c r="D24" s="33">
        <v>1.3</v>
      </c>
      <c r="E24" s="118">
        <v>0</v>
      </c>
      <c r="F24" s="26">
        <f>'Master List of Items'!E34</f>
        <v>500</v>
      </c>
      <c r="G24" s="60">
        <f t="shared" ref="G24" si="1">E24*F24*D24</f>
        <v>0</v>
      </c>
      <c r="I24" s="36" t="s">
        <v>316</v>
      </c>
    </row>
    <row r="25" spans="1:34" s="4" customFormat="1" ht="29" customHeight="1" x14ac:dyDescent="0.35">
      <c r="A25" s="2"/>
      <c r="B25" s="82" t="s">
        <v>78</v>
      </c>
      <c r="C25" s="192"/>
      <c r="D25" s="193"/>
      <c r="E25" s="99" t="s">
        <v>75</v>
      </c>
      <c r="F25" s="86" t="s">
        <v>97</v>
      </c>
      <c r="G25" s="218" t="s">
        <v>98</v>
      </c>
      <c r="I25" s="5"/>
      <c r="J25" s="5"/>
      <c r="K25" s="5"/>
      <c r="L25" s="5"/>
      <c r="M25" s="5"/>
      <c r="N25" s="5"/>
      <c r="O25" s="5"/>
      <c r="P25" s="5"/>
      <c r="Q25" s="3"/>
      <c r="R25" s="5"/>
      <c r="S25" s="3"/>
      <c r="T25" s="5"/>
      <c r="U25" s="5"/>
      <c r="V25" s="5"/>
      <c r="W25" s="5"/>
      <c r="X25" s="5"/>
      <c r="Y25" s="5"/>
      <c r="Z25" s="5"/>
      <c r="AA25" s="5"/>
      <c r="AB25" s="5"/>
      <c r="AC25" s="6"/>
      <c r="AD25" s="1"/>
      <c r="AE25"/>
      <c r="AF25"/>
      <c r="AG25"/>
      <c r="AH25"/>
    </row>
    <row r="26" spans="1:34" s="4" customFormat="1" ht="43.5" customHeight="1" x14ac:dyDescent="0.35">
      <c r="A26" s="2"/>
      <c r="B26" s="52" t="s">
        <v>241</v>
      </c>
      <c r="C26" s="187" t="s">
        <v>55</v>
      </c>
      <c r="D26" s="189"/>
      <c r="E26" s="195">
        <v>0</v>
      </c>
      <c r="F26" s="188">
        <f>'Master List of Items'!E42</f>
        <v>20000</v>
      </c>
      <c r="G26" s="149">
        <f>E26*F26</f>
        <v>0</v>
      </c>
      <c r="I26" s="330" t="s">
        <v>245</v>
      </c>
      <c r="J26" s="330"/>
      <c r="K26" s="330"/>
      <c r="L26" s="330"/>
      <c r="M26" s="330"/>
      <c r="N26" s="5"/>
      <c r="O26" s="5"/>
      <c r="P26" s="5"/>
      <c r="Q26" s="3"/>
      <c r="R26" s="5"/>
      <c r="S26" s="3"/>
      <c r="T26" s="5"/>
      <c r="U26" s="5"/>
      <c r="V26" s="5"/>
      <c r="W26" s="5"/>
      <c r="X26" s="5"/>
      <c r="Y26" s="5"/>
      <c r="Z26" s="5"/>
      <c r="AA26" s="5"/>
      <c r="AB26" s="5"/>
      <c r="AC26" s="6"/>
      <c r="AD26" s="1"/>
      <c r="AE26"/>
      <c r="AF26"/>
      <c r="AG26"/>
      <c r="AH26"/>
    </row>
    <row r="27" spans="1:34" s="4" customFormat="1" ht="57.75" customHeight="1" x14ac:dyDescent="0.35">
      <c r="A27" s="2"/>
      <c r="B27" s="194" t="s">
        <v>242</v>
      </c>
      <c r="C27" s="187" t="s">
        <v>55</v>
      </c>
      <c r="D27" s="189"/>
      <c r="E27" s="195">
        <v>0</v>
      </c>
      <c r="F27" s="188">
        <f>'Master List of Items'!E43</f>
        <v>30000</v>
      </c>
      <c r="G27" s="149">
        <f>E27*F27</f>
        <v>0</v>
      </c>
      <c r="I27" s="330" t="s">
        <v>181</v>
      </c>
      <c r="J27" s="330"/>
      <c r="K27" s="330"/>
      <c r="L27" s="330"/>
      <c r="M27" s="330"/>
      <c r="N27" s="5"/>
      <c r="O27" s="5"/>
      <c r="P27" s="5"/>
      <c r="Q27" s="3"/>
      <c r="R27" s="5"/>
      <c r="S27" s="3"/>
      <c r="T27" s="5"/>
      <c r="U27" s="5"/>
      <c r="V27" s="5"/>
      <c r="W27" s="5"/>
      <c r="X27" s="5"/>
      <c r="Y27" s="5"/>
      <c r="Z27" s="5"/>
      <c r="AA27" s="5"/>
      <c r="AB27" s="5"/>
      <c r="AC27" s="6"/>
      <c r="AD27" s="1"/>
      <c r="AE27"/>
      <c r="AF27"/>
      <c r="AG27"/>
      <c r="AH27"/>
    </row>
    <row r="28" spans="1:34" ht="29" customHeight="1" x14ac:dyDescent="0.35">
      <c r="B28" s="143" t="s">
        <v>56</v>
      </c>
      <c r="C28" s="97"/>
      <c r="D28" s="98" t="s">
        <v>114</v>
      </c>
      <c r="E28" s="99" t="s">
        <v>75</v>
      </c>
      <c r="F28" s="99" t="s">
        <v>97</v>
      </c>
      <c r="G28" s="218" t="s">
        <v>98</v>
      </c>
      <c r="Q28" s="5"/>
    </row>
    <row r="29" spans="1:34" ht="16" customHeight="1" x14ac:dyDescent="0.35">
      <c r="B29" s="52" t="s">
        <v>127</v>
      </c>
      <c r="C29" s="25" t="s">
        <v>28</v>
      </c>
      <c r="D29" s="195">
        <v>0</v>
      </c>
      <c r="E29" s="25">
        <f>D29/10</f>
        <v>0</v>
      </c>
      <c r="F29" s="188">
        <f>'Master List of Items'!E37</f>
        <v>225</v>
      </c>
      <c r="G29" s="27">
        <f>F29*E29</f>
        <v>0</v>
      </c>
      <c r="I29" s="36" t="s">
        <v>214</v>
      </c>
    </row>
    <row r="30" spans="1:34" ht="16" customHeight="1" x14ac:dyDescent="0.35">
      <c r="B30" s="52" t="s">
        <v>160</v>
      </c>
      <c r="C30" s="25" t="s">
        <v>28</v>
      </c>
      <c r="D30" s="189"/>
      <c r="E30" s="195">
        <v>0</v>
      </c>
      <c r="F30" s="188">
        <f>'Master List of Items'!E37</f>
        <v>225</v>
      </c>
      <c r="G30" s="27">
        <f t="shared" ref="G30:G37" si="2">F30*E30</f>
        <v>0</v>
      </c>
      <c r="H30" s="131"/>
      <c r="I30" s="41" t="s">
        <v>217</v>
      </c>
      <c r="K30"/>
    </row>
    <row r="31" spans="1:34" ht="16" customHeight="1" x14ac:dyDescent="0.35">
      <c r="B31" s="52" t="s">
        <v>63</v>
      </c>
      <c r="C31" s="25" t="s">
        <v>28</v>
      </c>
      <c r="D31" s="189"/>
      <c r="E31" s="195">
        <v>0</v>
      </c>
      <c r="F31" s="188">
        <f>'Master List of Items'!E52</f>
        <v>5000</v>
      </c>
      <c r="G31" s="27">
        <f>F31*E31</f>
        <v>0</v>
      </c>
      <c r="I31" s="5" t="s">
        <v>128</v>
      </c>
    </row>
    <row r="32" spans="1:34" ht="28.5" customHeight="1" x14ac:dyDescent="0.35">
      <c r="B32" s="52" t="s">
        <v>57</v>
      </c>
      <c r="C32" s="34" t="s">
        <v>58</v>
      </c>
      <c r="D32" s="189"/>
      <c r="E32" s="195">
        <v>0</v>
      </c>
      <c r="F32" s="188">
        <f>'Master List of Items'!E46</f>
        <v>22000</v>
      </c>
      <c r="G32" s="27">
        <f>F32*E32</f>
        <v>0</v>
      </c>
      <c r="I32" s="36" t="s">
        <v>129</v>
      </c>
    </row>
    <row r="33" spans="1:34" ht="16" customHeight="1" x14ac:dyDescent="0.35">
      <c r="B33" s="52" t="s">
        <v>59</v>
      </c>
      <c r="C33" s="25" t="s">
        <v>28</v>
      </c>
      <c r="D33" s="189"/>
      <c r="E33" s="195">
        <v>0</v>
      </c>
      <c r="F33" s="188">
        <f>'Master List of Items'!E47</f>
        <v>30000</v>
      </c>
      <c r="G33" s="27">
        <f t="shared" si="2"/>
        <v>0</v>
      </c>
      <c r="I33" s="5" t="s">
        <v>128</v>
      </c>
    </row>
    <row r="34" spans="1:34" ht="16" customHeight="1" x14ac:dyDescent="0.35">
      <c r="B34" s="52" t="s">
        <v>60</v>
      </c>
      <c r="C34" s="25" t="s">
        <v>28</v>
      </c>
      <c r="D34" s="189"/>
      <c r="E34" s="195">
        <v>0</v>
      </c>
      <c r="F34" s="188">
        <f>'Master List of Items'!E48</f>
        <v>13000</v>
      </c>
      <c r="G34" s="27">
        <f t="shared" si="2"/>
        <v>0</v>
      </c>
      <c r="I34" s="5" t="s">
        <v>128</v>
      </c>
    </row>
    <row r="35" spans="1:34" ht="16" customHeight="1" x14ac:dyDescent="0.35">
      <c r="B35" s="52" t="s">
        <v>61</v>
      </c>
      <c r="C35" s="25" t="s">
        <v>28</v>
      </c>
      <c r="D35" s="189"/>
      <c r="E35" s="195">
        <v>0</v>
      </c>
      <c r="F35" s="188">
        <f>'Master List of Items'!E49</f>
        <v>100000</v>
      </c>
      <c r="G35" s="27">
        <f t="shared" si="2"/>
        <v>0</v>
      </c>
      <c r="I35" s="5" t="s">
        <v>128</v>
      </c>
    </row>
    <row r="36" spans="1:34" ht="78.5" x14ac:dyDescent="0.35">
      <c r="B36" s="52" t="s">
        <v>62</v>
      </c>
      <c r="C36" s="34" t="s">
        <v>58</v>
      </c>
      <c r="D36" s="189"/>
      <c r="E36" s="214">
        <v>0</v>
      </c>
      <c r="F36" s="195">
        <v>0</v>
      </c>
      <c r="G36" s="27">
        <f t="shared" si="2"/>
        <v>0</v>
      </c>
      <c r="I36" s="280" t="s">
        <v>234</v>
      </c>
      <c r="J36" s="280"/>
      <c r="K36" s="280"/>
      <c r="L36" s="280"/>
    </row>
    <row r="37" spans="1:34" ht="16" customHeight="1" x14ac:dyDescent="0.35">
      <c r="B37" s="52" t="s">
        <v>65</v>
      </c>
      <c r="C37" s="25" t="s">
        <v>28</v>
      </c>
      <c r="D37" s="189"/>
      <c r="E37" s="195">
        <v>0</v>
      </c>
      <c r="F37" s="188">
        <f>'Master List of Items'!E54</f>
        <v>1000</v>
      </c>
      <c r="G37" s="27">
        <f t="shared" si="2"/>
        <v>0</v>
      </c>
      <c r="I37" s="5" t="s">
        <v>128</v>
      </c>
    </row>
    <row r="38" spans="1:34" s="4" customFormat="1" ht="29" customHeight="1" x14ac:dyDescent="0.35">
      <c r="A38" s="2"/>
      <c r="B38" s="82" t="s">
        <v>83</v>
      </c>
      <c r="C38" s="87"/>
      <c r="D38" s="87"/>
      <c r="E38" s="88"/>
      <c r="F38" s="90"/>
      <c r="G38" s="83">
        <f>SUM(G15:G37)</f>
        <v>0</v>
      </c>
      <c r="I38" s="36"/>
      <c r="J38" s="5"/>
      <c r="K38" s="5"/>
      <c r="L38" s="5"/>
      <c r="M38" s="5"/>
      <c r="N38" s="5"/>
      <c r="O38" s="5"/>
      <c r="P38" s="5"/>
      <c r="Q38" s="3"/>
      <c r="R38" s="5"/>
      <c r="S38" s="3"/>
      <c r="T38" s="5"/>
      <c r="U38" s="5"/>
      <c r="V38" s="5"/>
      <c r="W38" s="5"/>
      <c r="X38" s="5"/>
      <c r="Y38" s="5"/>
      <c r="Z38" s="5"/>
      <c r="AA38" s="5"/>
      <c r="AB38" s="5"/>
      <c r="AC38" s="6"/>
      <c r="AD38" s="1"/>
      <c r="AE38"/>
      <c r="AF38"/>
      <c r="AG38"/>
      <c r="AH38"/>
    </row>
    <row r="39" spans="1:34" s="4" customFormat="1" ht="16" customHeight="1" x14ac:dyDescent="0.35">
      <c r="A39" s="2"/>
      <c r="B39" s="28" t="s">
        <v>23</v>
      </c>
      <c r="C39" s="53" t="s">
        <v>101</v>
      </c>
      <c r="E39" s="15"/>
      <c r="F39" s="137">
        <v>0.4</v>
      </c>
      <c r="G39" s="29">
        <f>F39*G38</f>
        <v>0</v>
      </c>
      <c r="I39" s="323" t="s">
        <v>196</v>
      </c>
      <c r="J39" s="323"/>
      <c r="K39" s="323"/>
      <c r="L39" s="323"/>
      <c r="M39" s="323"/>
      <c r="N39" s="323"/>
      <c r="O39" s="146"/>
      <c r="P39" s="5"/>
      <c r="Q39" s="3"/>
      <c r="R39" s="5"/>
      <c r="S39" s="3"/>
      <c r="T39" s="5"/>
      <c r="U39" s="5"/>
      <c r="V39" s="5"/>
      <c r="W39" s="5"/>
      <c r="X39" s="5"/>
      <c r="Y39" s="5"/>
      <c r="Z39" s="5"/>
      <c r="AA39" s="5"/>
      <c r="AB39" s="5"/>
      <c r="AC39" s="6"/>
      <c r="AD39" s="1"/>
      <c r="AE39"/>
      <c r="AF39"/>
      <c r="AG39"/>
      <c r="AH39"/>
    </row>
    <row r="40" spans="1:34" s="4" customFormat="1" ht="29" customHeight="1" x14ac:dyDescent="0.35">
      <c r="A40" s="2"/>
      <c r="B40" s="82" t="s">
        <v>82</v>
      </c>
      <c r="C40" s="102" t="s">
        <v>26</v>
      </c>
      <c r="D40" s="102"/>
      <c r="E40" s="102"/>
      <c r="F40" s="91"/>
      <c r="G40" s="83">
        <f>G38+G39</f>
        <v>0</v>
      </c>
      <c r="I40" s="141"/>
      <c r="J40" s="5"/>
      <c r="K40" s="5"/>
      <c r="L40" s="5"/>
      <c r="M40" s="5"/>
      <c r="N40" s="5"/>
      <c r="O40" s="5"/>
      <c r="P40" s="5"/>
      <c r="Q40" s="3"/>
      <c r="R40" s="5"/>
      <c r="S40" s="3"/>
      <c r="T40" s="5"/>
      <c r="U40" s="5"/>
      <c r="V40" s="5"/>
      <c r="W40" s="5"/>
      <c r="X40" s="5"/>
      <c r="Y40" s="5"/>
      <c r="Z40" s="5"/>
      <c r="AA40" s="5"/>
      <c r="AB40" s="5"/>
      <c r="AC40" s="6"/>
      <c r="AD40" s="1"/>
      <c r="AE40"/>
      <c r="AF40"/>
      <c r="AG40"/>
      <c r="AH40"/>
    </row>
    <row r="41" spans="1:34" s="4" customFormat="1" ht="16" customHeight="1" x14ac:dyDescent="0.35">
      <c r="A41" s="2"/>
      <c r="B41" s="28" t="s">
        <v>84</v>
      </c>
      <c r="C41" s="53" t="s">
        <v>102</v>
      </c>
      <c r="D41" s="129"/>
      <c r="E41" s="129"/>
      <c r="F41" s="203">
        <v>0.3</v>
      </c>
      <c r="G41" s="29">
        <f>F41*G40</f>
        <v>0</v>
      </c>
      <c r="I41" s="206" t="s">
        <v>194</v>
      </c>
      <c r="J41" s="5"/>
      <c r="K41" s="5"/>
      <c r="L41" s="5"/>
      <c r="M41" s="5"/>
      <c r="N41" s="5"/>
      <c r="O41" s="5"/>
      <c r="P41" s="5"/>
      <c r="Q41" s="3"/>
      <c r="R41" s="5"/>
      <c r="S41" s="3"/>
      <c r="T41" s="5"/>
      <c r="U41" s="5"/>
      <c r="V41" s="5"/>
      <c r="W41" s="5"/>
      <c r="X41" s="5"/>
      <c r="Y41" s="5"/>
      <c r="Z41" s="5"/>
      <c r="AA41" s="5"/>
      <c r="AB41" s="5"/>
      <c r="AC41" s="6"/>
      <c r="AD41" s="1"/>
      <c r="AE41"/>
      <c r="AF41"/>
      <c r="AG41"/>
      <c r="AH41"/>
    </row>
    <row r="42" spans="1:34" s="4" customFormat="1" ht="29" customHeight="1" x14ac:dyDescent="0.35">
      <c r="A42" s="2"/>
      <c r="B42" s="82" t="s">
        <v>103</v>
      </c>
      <c r="C42" s="102" t="s">
        <v>26</v>
      </c>
      <c r="D42" s="102"/>
      <c r="E42" s="102"/>
      <c r="F42" s="91"/>
      <c r="G42" s="83">
        <f>G40+G41</f>
        <v>0</v>
      </c>
      <c r="I42" s="132" t="s">
        <v>26</v>
      </c>
      <c r="J42" s="5"/>
      <c r="K42" s="5"/>
      <c r="L42" s="5"/>
      <c r="M42" s="5"/>
      <c r="N42" s="5"/>
      <c r="O42" s="5"/>
      <c r="P42" s="5"/>
      <c r="Q42" s="3"/>
      <c r="R42" s="5"/>
      <c r="S42" s="3"/>
      <c r="T42" s="5"/>
      <c r="U42" s="5"/>
      <c r="V42" s="5"/>
      <c r="W42" s="5"/>
      <c r="X42" s="5"/>
      <c r="Y42" s="5"/>
      <c r="Z42" s="5"/>
      <c r="AA42" s="5"/>
      <c r="AB42" s="5"/>
      <c r="AC42" s="6"/>
      <c r="AD42" s="1"/>
      <c r="AE42"/>
      <c r="AF42"/>
      <c r="AG42"/>
      <c r="AH42"/>
    </row>
    <row r="43" spans="1:34" s="5" customFormat="1" ht="16" customHeight="1" thickBot="1" x14ac:dyDescent="0.4">
      <c r="A43" s="2"/>
      <c r="B43" s="197" t="s">
        <v>24</v>
      </c>
      <c r="C43" s="198" t="s">
        <v>104</v>
      </c>
      <c r="D43" s="199"/>
      <c r="E43" s="200"/>
      <c r="F43" s="201">
        <v>0.2</v>
      </c>
      <c r="G43" s="202">
        <f>F43*G42</f>
        <v>0</v>
      </c>
      <c r="H43" s="4"/>
      <c r="I43" s="36" t="s">
        <v>188</v>
      </c>
      <c r="Q43" s="3"/>
      <c r="S43" s="3"/>
      <c r="AC43" s="6"/>
      <c r="AD43" s="1"/>
      <c r="AE43"/>
      <c r="AF43"/>
      <c r="AG43"/>
      <c r="AH43"/>
    </row>
    <row r="44" spans="1:34" s="5" customFormat="1" ht="29" customHeight="1" thickBot="1" x14ac:dyDescent="0.4">
      <c r="A44" s="2"/>
      <c r="B44" s="287" t="s">
        <v>105</v>
      </c>
      <c r="C44" s="275"/>
      <c r="D44" s="275"/>
      <c r="E44" s="120"/>
      <c r="F44" s="121" t="s">
        <v>26</v>
      </c>
      <c r="G44" s="122">
        <f>ROUND(SUM(G42:G43), -2)</f>
        <v>0</v>
      </c>
      <c r="H44" s="4"/>
      <c r="Q44" s="3"/>
      <c r="S44" s="3"/>
      <c r="AC44" s="6"/>
      <c r="AD44" s="1"/>
      <c r="AE44"/>
      <c r="AF44"/>
      <c r="AG44"/>
      <c r="AH44"/>
    </row>
    <row r="45" spans="1:34" s="5" customFormat="1" x14ac:dyDescent="0.35">
      <c r="A45" s="2"/>
      <c r="B45" s="1"/>
      <c r="C45" s="4"/>
      <c r="D45" s="4"/>
      <c r="E45" s="3"/>
      <c r="F45" s="3"/>
      <c r="G45" s="3"/>
      <c r="H45" s="4"/>
      <c r="I45" s="36"/>
      <c r="Q45" s="3"/>
      <c r="S45" s="3"/>
      <c r="AC45" s="6"/>
      <c r="AD45" s="1"/>
      <c r="AE45"/>
      <c r="AF45"/>
      <c r="AG45"/>
      <c r="AH45"/>
    </row>
    <row r="46" spans="1:34" s="5" customFormat="1" x14ac:dyDescent="0.35">
      <c r="A46" s="2"/>
      <c r="B46" s="1"/>
      <c r="C46" s="4"/>
      <c r="D46" s="4"/>
      <c r="E46" s="3"/>
      <c r="F46" s="3"/>
      <c r="G46" s="3"/>
      <c r="H46" s="4"/>
      <c r="Q46" s="3"/>
      <c r="S46" s="3"/>
      <c r="AC46" s="6"/>
      <c r="AD46" s="1"/>
      <c r="AE46"/>
      <c r="AF46"/>
      <c r="AG46"/>
      <c r="AH46"/>
    </row>
  </sheetData>
  <sheetProtection algorithmName="SHA-512" hashValue="tuDnO06K1iebD0bhir+aPuUbV3viGR+A/jb0N+qiIHhbSNez5F/MVaV+ZnQBGZNmJppomIDbl7PqMmZQjcJoEg==" saltValue="BS619UROzsI2aqaGp7Do4w==" spinCount="100000" sheet="1" objects="1" scenarios="1"/>
  <mergeCells count="5">
    <mergeCell ref="B2:G2"/>
    <mergeCell ref="B3:G3"/>
    <mergeCell ref="I39:N39"/>
    <mergeCell ref="I26:M26"/>
    <mergeCell ref="I27:M27"/>
  </mergeCells>
  <dataValidations count="8">
    <dataValidation allowBlank="1" showInputMessage="1" showErrorMessage="1" promptTitle="Contraflow Bike Lanes" prompt="When contraflow bike lanes are used, enter the number of intersections effected." sqref="E13" xr:uid="{28B24337-8574-476D-8ECE-CFF23429B8CD}"/>
    <dataValidation allowBlank="1" showInputMessage="1" showErrorMessage="1" promptTitle="Contraflow Bike Lanes - Length" prompt="These bike lanes allow bicycle traffic to operate in the opposite direction as motor vehicle traffic on one-way streets. Typically no longer than one block long, these bike lanes can be part of a bike boulevard corridor. When used, enter the length." sqref="E12" xr:uid="{CEFE71CD-57C4-4F3E-9074-38CA763BF155}"/>
    <dataValidation allowBlank="1" showInputMessage="1" showErrorMessage="1" promptTitle="Traffic Calming Features" prompt="Traffic calming features improve bicycling conditions along bicycle boulevards corridor.  A combination of traffic calming features can be used to determine project costs._x000a_" sqref="B28" xr:uid="{C8CFF6FD-6DAC-4ADF-8E22-CE9989C22C27}"/>
    <dataValidation allowBlank="1" showInputMessage="1" showErrorMessage="1" promptTitle="Bike Lane Ahead" prompt="Enter additional quanities for this type of sign, if desired or required." sqref="E20 E24" xr:uid="{61CB90F7-7C59-4A47-B23A-2FAB57563A5E}"/>
    <dataValidation allowBlank="1" showInputMessage="1" showErrorMessage="1" promptTitle="Bike Lane Ends" prompt="Enter additional quanities for this type of sign, if desired or required." sqref="E21" xr:uid="{6F5B3D02-A4C1-4D6D-B48D-1795655A304D}"/>
    <dataValidation allowBlank="1" showInputMessage="1" showErrorMessage="1" promptTitle="Bikes May Use Full Lane" prompt="Enter additional quanities for this type of sign, if desired or required." sqref="E23" xr:uid="{97A7840F-2FE2-464C-B574-C1D00F14AB29}"/>
    <dataValidation allowBlank="1" showInputMessage="1" showErrorMessage="1" promptTitle="Green pavement marking" prompt="Green pavement marking is used to highlight conflict zones through intersections.  For this quantity, green pavement is calculated for each intersection and 10' to both sides of the intersection._x000a_" sqref="E18" xr:uid="{865B8B3B-F504-4143-B32B-7B8B1B25BD2E}"/>
    <dataValidation type="list" allowBlank="1" showInputMessage="1" showErrorMessage="1" sqref="E7 E11" xr:uid="{B9698F27-D356-4EE4-AE8F-7A4DF2E5E24F}">
      <formula1>"YES, NO"</formula1>
    </dataValidation>
  </dataValidations>
  <pageMargins left="0.25" right="0.25" top="0.75" bottom="0.75" header="0.3" footer="0.3"/>
  <pageSetup paperSize="3" scale="2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7822-7A9B-4F38-9368-4C397F370488}">
  <sheetPr codeName="Sheet14">
    <pageSetUpPr fitToPage="1"/>
  </sheetPr>
  <dimension ref="A1:CM46"/>
  <sheetViews>
    <sheetView topLeftCell="A26" zoomScaleNormal="100" workbookViewId="0">
      <selection activeCell="I37" sqref="I37:O37"/>
    </sheetView>
  </sheetViews>
  <sheetFormatPr defaultRowHeight="14.5" x14ac:dyDescent="0.35"/>
  <cols>
    <col min="1" max="1" width="8.6328125" style="2" customWidth="1"/>
    <col min="2" max="2" width="39.6328125" style="1" customWidth="1"/>
    <col min="3" max="3" width="26.36328125" style="19" customWidth="1"/>
    <col min="4" max="4" width="12.6328125" style="15" customWidth="1"/>
    <col min="5" max="5" width="12.6328125" style="4" customWidth="1"/>
    <col min="6" max="7" width="12.6328125" style="7" customWidth="1"/>
    <col min="8" max="8" width="12.6328125" style="4" customWidth="1"/>
    <col min="9" max="9" width="55.6328125" style="7" customWidth="1"/>
    <col min="10" max="10" width="14.36328125" style="3" bestFit="1" customWidth="1"/>
    <col min="11" max="11" width="12.6328125" style="5" customWidth="1"/>
    <col min="12" max="12" width="10.6328125" style="3" customWidth="1"/>
    <col min="13" max="16" width="12.6328125" style="5" customWidth="1"/>
    <col min="17" max="17" width="14.36328125" style="5" customWidth="1"/>
    <col min="18" max="19" width="12.6328125" style="5" customWidth="1"/>
    <col min="20" max="20" width="15.36328125" style="5" customWidth="1"/>
    <col min="21" max="21" width="12.6328125" style="5" customWidth="1"/>
    <col min="22" max="22" width="12.6328125" style="6" customWidth="1"/>
    <col min="23" max="23" width="23" style="1" customWidth="1"/>
    <col min="25" max="25" width="9.6328125" bestFit="1" customWidth="1"/>
    <col min="26" max="26" width="11.6328125" bestFit="1" customWidth="1"/>
  </cols>
  <sheetData>
    <row r="1" spans="1:91" ht="15" thickBot="1" x14ac:dyDescent="0.4">
      <c r="G1" s="58"/>
      <c r="I1" s="116" t="s">
        <v>85</v>
      </c>
      <c r="J1" s="116"/>
      <c r="K1" s="116"/>
    </row>
    <row r="2" spans="1:91" ht="48.25" customHeight="1" thickBot="1" x14ac:dyDescent="0.4">
      <c r="A2" s="31"/>
      <c r="B2" s="325" t="s">
        <v>130</v>
      </c>
      <c r="C2" s="326"/>
      <c r="D2" s="326"/>
      <c r="E2" s="326"/>
      <c r="F2" s="326"/>
      <c r="G2" s="327"/>
      <c r="H2" s="31"/>
      <c r="I2" s="276" t="s">
        <v>87</v>
      </c>
      <c r="J2" s="276"/>
      <c r="K2" s="276"/>
      <c r="L2" s="276"/>
      <c r="M2" s="276"/>
      <c r="N2" s="30"/>
      <c r="O2" s="30"/>
      <c r="P2" s="30"/>
      <c r="Q2" s="30"/>
      <c r="R2" s="30"/>
      <c r="S2" s="30"/>
      <c r="T2" s="30"/>
      <c r="U2" s="30"/>
      <c r="V2" s="30"/>
      <c r="W2" s="30"/>
    </row>
    <row r="3" spans="1:91" ht="8.15" customHeight="1" thickBot="1" x14ac:dyDescent="0.4">
      <c r="A3" s="19"/>
      <c r="B3" s="335" t="s">
        <v>116</v>
      </c>
      <c r="C3" s="335"/>
      <c r="D3" s="335"/>
      <c r="E3" s="335"/>
      <c r="F3" s="335"/>
      <c r="G3" s="335"/>
      <c r="H3" s="2"/>
      <c r="I3" s="19"/>
      <c r="J3" s="19"/>
      <c r="K3" s="19"/>
      <c r="L3" s="19"/>
      <c r="M3" s="19"/>
      <c r="N3" s="19"/>
      <c r="O3" s="19"/>
      <c r="P3" s="19"/>
      <c r="Q3" s="19"/>
      <c r="R3" s="19"/>
      <c r="S3" s="19"/>
      <c r="T3" s="19"/>
      <c r="U3" s="19"/>
      <c r="V3" s="19"/>
      <c r="W3" s="19"/>
    </row>
    <row r="4" spans="1:91" s="11" customFormat="1" ht="29" customHeight="1" x14ac:dyDescent="0.35">
      <c r="A4" s="16"/>
      <c r="B4" s="92" t="s">
        <v>131</v>
      </c>
      <c r="C4" s="265" t="s">
        <v>26</v>
      </c>
      <c r="D4" s="95" t="s">
        <v>132</v>
      </c>
      <c r="E4" s="93" t="s">
        <v>134</v>
      </c>
      <c r="F4" s="93" t="s">
        <v>98</v>
      </c>
      <c r="G4" s="266" t="s">
        <v>26</v>
      </c>
      <c r="H4" s="18"/>
      <c r="K4" s="16"/>
      <c r="L4" s="16"/>
      <c r="M4" s="16"/>
      <c r="N4" s="16"/>
      <c r="O4" s="16"/>
      <c r="P4" s="16"/>
      <c r="Q4" s="16"/>
      <c r="R4" s="16"/>
      <c r="S4" s="16"/>
      <c r="T4" s="16"/>
      <c r="U4" s="16"/>
      <c r="V4" s="16"/>
      <c r="W4" s="16"/>
    </row>
    <row r="5" spans="1:91" s="11" customFormat="1" ht="15" customHeight="1" x14ac:dyDescent="0.35">
      <c r="A5" s="39"/>
      <c r="B5" s="61" t="s">
        <v>135</v>
      </c>
      <c r="C5" s="251"/>
      <c r="D5" s="248">
        <v>0</v>
      </c>
      <c r="E5" s="190">
        <f>'Master List of Items'!E69</f>
        <v>1800000</v>
      </c>
      <c r="F5" s="190">
        <f>E5*D5</f>
        <v>0</v>
      </c>
      <c r="G5" s="264"/>
      <c r="H5" s="17"/>
      <c r="I5" s="11" t="s">
        <v>297</v>
      </c>
      <c r="K5" s="12"/>
      <c r="L5" s="12"/>
      <c r="M5" s="12"/>
      <c r="N5" s="12"/>
      <c r="O5" s="12"/>
      <c r="P5" s="12"/>
      <c r="Q5" s="12"/>
      <c r="R5" s="12"/>
      <c r="S5" s="12"/>
      <c r="T5" s="12"/>
      <c r="U5" s="12"/>
      <c r="V5" s="12"/>
      <c r="W5" s="12"/>
    </row>
    <row r="6" spans="1:91" ht="15" customHeight="1" x14ac:dyDescent="0.35">
      <c r="A6" s="24"/>
      <c r="B6" s="263" t="s">
        <v>26</v>
      </c>
      <c r="C6" s="24"/>
      <c r="D6" s="261" t="s">
        <v>26</v>
      </c>
      <c r="E6" s="26"/>
      <c r="F6" s="26"/>
      <c r="G6" s="27"/>
      <c r="I6" s="3"/>
    </row>
    <row r="7" spans="1:91" ht="15" customHeight="1" x14ac:dyDescent="0.35">
      <c r="A7" s="24"/>
      <c r="B7" s="260" t="s">
        <v>298</v>
      </c>
      <c r="C7" s="24"/>
      <c r="D7" s="33"/>
      <c r="E7" s="261"/>
      <c r="F7" s="26"/>
      <c r="G7" s="27"/>
      <c r="I7" s="26"/>
    </row>
    <row r="8" spans="1:91" ht="15" customHeight="1" x14ac:dyDescent="0.35">
      <c r="A8" s="24"/>
      <c r="B8" s="262" t="s">
        <v>299</v>
      </c>
      <c r="C8" s="24"/>
      <c r="D8" s="249" t="s">
        <v>302</v>
      </c>
      <c r="E8" s="261"/>
      <c r="F8" s="26"/>
      <c r="G8" s="27">
        <f>IF(D8="HIGH", 0.2*F5, "$0")</f>
        <v>0</v>
      </c>
      <c r="I8" s="336" t="s">
        <v>304</v>
      </c>
      <c r="J8" s="336"/>
      <c r="K8" s="336"/>
      <c r="L8" s="336"/>
      <c r="M8" s="336"/>
      <c r="N8" s="336"/>
      <c r="O8" s="336"/>
    </row>
    <row r="9" spans="1:91" ht="29" customHeight="1" x14ac:dyDescent="0.35">
      <c r="A9" s="24"/>
      <c r="B9" s="262" t="s">
        <v>300</v>
      </c>
      <c r="C9" s="228"/>
      <c r="D9" s="249" t="s">
        <v>212</v>
      </c>
      <c r="E9" s="25"/>
      <c r="F9" s="80"/>
      <c r="G9" s="27">
        <f>IF(D9="YES", 0.5*F5, "$0")</f>
        <v>0</v>
      </c>
      <c r="I9" s="336" t="s">
        <v>305</v>
      </c>
      <c r="J9" s="336"/>
      <c r="K9" s="336"/>
      <c r="L9" s="336"/>
      <c r="M9" s="336"/>
      <c r="N9" s="336"/>
      <c r="O9" s="336"/>
    </row>
    <row r="10" spans="1:91" ht="29" customHeight="1" x14ac:dyDescent="0.35">
      <c r="A10" s="24"/>
      <c r="B10" s="262" t="s">
        <v>301</v>
      </c>
      <c r="C10" s="24"/>
      <c r="D10" s="249" t="s">
        <v>302</v>
      </c>
      <c r="E10" s="261"/>
      <c r="F10" s="26"/>
      <c r="G10" s="27">
        <f>IF(D10="HIGH", 0.2*F5, "$0")</f>
        <v>0</v>
      </c>
      <c r="I10" s="336" t="s">
        <v>306</v>
      </c>
      <c r="J10" s="336"/>
      <c r="K10" s="336"/>
      <c r="L10" s="336"/>
      <c r="M10" s="336"/>
      <c r="N10" s="336"/>
      <c r="O10" s="336"/>
    </row>
    <row r="11" spans="1:91" x14ac:dyDescent="0.35">
      <c r="A11" s="24"/>
      <c r="B11" s="260" t="s">
        <v>303</v>
      </c>
      <c r="C11" s="24"/>
      <c r="D11" s="24"/>
      <c r="E11" s="24"/>
      <c r="F11" s="80"/>
      <c r="G11" s="27">
        <f>F5+G8+G9+G10</f>
        <v>0</v>
      </c>
      <c r="I11" s="80"/>
    </row>
    <row r="12" spans="1:91" ht="29" customHeight="1" x14ac:dyDescent="0.35">
      <c r="A12" s="24"/>
      <c r="B12" s="96" t="s">
        <v>136</v>
      </c>
      <c r="C12" s="102"/>
      <c r="D12" s="98" t="s">
        <v>133</v>
      </c>
      <c r="E12" s="99" t="s">
        <v>137</v>
      </c>
      <c r="F12" s="97" t="s">
        <v>138</v>
      </c>
      <c r="G12" s="218" t="s">
        <v>98</v>
      </c>
      <c r="I12" s="80"/>
    </row>
    <row r="13" spans="1:91" s="5" customFormat="1" ht="15" customHeight="1" x14ac:dyDescent="0.35">
      <c r="A13" s="24"/>
      <c r="B13" s="23"/>
      <c r="C13" s="24" t="s">
        <v>139</v>
      </c>
      <c r="D13" s="144">
        <v>0</v>
      </c>
      <c r="E13" s="25">
        <v>6</v>
      </c>
      <c r="F13" s="26">
        <f>'Master List of Items'!E58</f>
        <v>295</v>
      </c>
      <c r="G13" s="60">
        <f>6*D13*F13</f>
        <v>0</v>
      </c>
      <c r="H13" s="4"/>
      <c r="I13" s="145" t="s">
        <v>318</v>
      </c>
      <c r="J13" s="3"/>
      <c r="L13" s="3"/>
      <c r="V13" s="6"/>
      <c r="W13" s="1"/>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5" customFormat="1" ht="15" customHeight="1" x14ac:dyDescent="0.35">
      <c r="A14" s="24"/>
      <c r="B14" s="23"/>
      <c r="C14" s="24" t="s">
        <v>140</v>
      </c>
      <c r="D14" s="134">
        <v>0</v>
      </c>
      <c r="E14" s="25">
        <v>6</v>
      </c>
      <c r="F14" s="26">
        <f>'Master List of Items'!E58</f>
        <v>295</v>
      </c>
      <c r="G14" s="60">
        <f t="shared" ref="G14:G15" si="0">6*D14*F14</f>
        <v>0</v>
      </c>
      <c r="H14" s="4"/>
      <c r="I14" s="145" t="s">
        <v>318</v>
      </c>
      <c r="J14" s="3"/>
      <c r="L14" s="3"/>
      <c r="V14" s="6"/>
      <c r="W14" s="1"/>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5" customFormat="1" ht="15" customHeight="1" x14ac:dyDescent="0.35">
      <c r="A15" s="24"/>
      <c r="B15" s="23"/>
      <c r="C15" s="24" t="s">
        <v>141</v>
      </c>
      <c r="D15" s="134">
        <v>0</v>
      </c>
      <c r="E15" s="25">
        <v>6</v>
      </c>
      <c r="F15" s="26">
        <f>'Master List of Items'!E58</f>
        <v>295</v>
      </c>
      <c r="G15" s="60">
        <f t="shared" si="0"/>
        <v>0</v>
      </c>
      <c r="H15" s="4"/>
      <c r="I15" s="145" t="s">
        <v>318</v>
      </c>
      <c r="J15" s="3"/>
      <c r="L15" s="3"/>
      <c r="V15" s="6"/>
      <c r="W15" s="1"/>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5" customFormat="1" ht="29" customHeight="1" x14ac:dyDescent="0.35">
      <c r="A16" s="24"/>
      <c r="B16" s="128" t="s">
        <v>142</v>
      </c>
      <c r="C16" s="257"/>
      <c r="D16" s="98" t="s">
        <v>133</v>
      </c>
      <c r="E16" s="126" t="s">
        <v>115</v>
      </c>
      <c r="F16" s="97" t="s">
        <v>138</v>
      </c>
      <c r="G16" s="218" t="s">
        <v>98</v>
      </c>
      <c r="H16" s="4"/>
      <c r="I16" s="80"/>
      <c r="J16" s="3"/>
      <c r="L16" s="3"/>
      <c r="V16" s="6"/>
      <c r="W16" s="1"/>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91" s="5" customFormat="1" ht="15" customHeight="1" x14ac:dyDescent="0.35">
      <c r="A17" s="24"/>
      <c r="B17" s="54"/>
      <c r="C17" s="24" t="s">
        <v>143</v>
      </c>
      <c r="D17" s="134">
        <v>0</v>
      </c>
      <c r="E17" s="25">
        <v>17</v>
      </c>
      <c r="F17" s="26">
        <f>'Master List of Items'!E59</f>
        <v>472.5</v>
      </c>
      <c r="G17" s="27">
        <f>D17*E17*F17</f>
        <v>0</v>
      </c>
      <c r="H17" s="4"/>
      <c r="I17" s="145" t="s">
        <v>327</v>
      </c>
      <c r="J17" s="145"/>
      <c r="K17" s="145"/>
      <c r="L17" s="145"/>
      <c r="M17" s="145"/>
      <c r="N17" s="145"/>
      <c r="V17" s="6"/>
      <c r="W17" s="1"/>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row>
    <row r="18" spans="1:91" s="5" customFormat="1" ht="15" customHeight="1" x14ac:dyDescent="0.35">
      <c r="A18" s="24"/>
      <c r="B18" s="54"/>
      <c r="C18" s="24" t="s">
        <v>144</v>
      </c>
      <c r="D18" s="134">
        <v>0</v>
      </c>
      <c r="E18" s="25">
        <v>17</v>
      </c>
      <c r="F18" s="26">
        <f>'Master List of Items'!E59</f>
        <v>472.5</v>
      </c>
      <c r="G18" s="27">
        <f t="shared" ref="G18:G20" si="1">D18*E18*F18</f>
        <v>0</v>
      </c>
      <c r="H18" s="4"/>
      <c r="I18" s="145" t="s">
        <v>327</v>
      </c>
      <c r="J18" s="3"/>
      <c r="L18" s="3"/>
      <c r="V18" s="6"/>
      <c r="W18" s="1"/>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row>
    <row r="19" spans="1:91" s="5" customFormat="1" ht="15" customHeight="1" x14ac:dyDescent="0.35">
      <c r="A19" s="24"/>
      <c r="B19" s="54"/>
      <c r="C19" s="24" t="s">
        <v>145</v>
      </c>
      <c r="D19" s="134">
        <v>0</v>
      </c>
      <c r="E19" s="25">
        <v>17</v>
      </c>
      <c r="F19" s="26">
        <f>'Master List of Items'!E60</f>
        <v>250</v>
      </c>
      <c r="G19" s="27">
        <f t="shared" si="1"/>
        <v>0</v>
      </c>
      <c r="H19" s="4"/>
      <c r="I19" s="145" t="s">
        <v>327</v>
      </c>
      <c r="J19" s="3"/>
      <c r="L19" s="3"/>
      <c r="V19" s="6"/>
      <c r="W19" s="1"/>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row>
    <row r="20" spans="1:91" s="5" customFormat="1" ht="15" customHeight="1" x14ac:dyDescent="0.35">
      <c r="A20" s="24"/>
      <c r="B20" s="54"/>
      <c r="C20" s="24" t="s">
        <v>146</v>
      </c>
      <c r="D20" s="134">
        <v>0</v>
      </c>
      <c r="E20" s="25">
        <v>17</v>
      </c>
      <c r="F20" s="26">
        <f>'Master List of Items'!E60</f>
        <v>250</v>
      </c>
      <c r="G20" s="27">
        <f t="shared" si="1"/>
        <v>0</v>
      </c>
      <c r="H20" s="4"/>
      <c r="I20" s="145" t="s">
        <v>327</v>
      </c>
      <c r="J20" s="3"/>
      <c r="L20" s="3"/>
      <c r="V20" s="6"/>
      <c r="W20" s="1"/>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row>
    <row r="21" spans="1:91" s="5" customFormat="1" ht="29" customHeight="1" x14ac:dyDescent="0.35">
      <c r="A21" s="24"/>
      <c r="B21" s="96" t="s">
        <v>147</v>
      </c>
      <c r="C21" s="102"/>
      <c r="D21" s="98" t="s">
        <v>133</v>
      </c>
      <c r="E21" s="126" t="s">
        <v>115</v>
      </c>
      <c r="F21" s="97" t="s">
        <v>97</v>
      </c>
      <c r="G21" s="218" t="s">
        <v>98</v>
      </c>
      <c r="H21" s="4"/>
      <c r="I21" s="3"/>
      <c r="J21" s="3"/>
      <c r="L21" s="3"/>
      <c r="V21" s="6"/>
      <c r="W21" s="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row>
    <row r="22" spans="1:91" s="5" customFormat="1" ht="15" customHeight="1" x14ac:dyDescent="0.35">
      <c r="A22" s="24"/>
      <c r="B22" s="258" t="s">
        <v>325</v>
      </c>
      <c r="C22" s="259"/>
      <c r="D22" s="134">
        <v>0</v>
      </c>
      <c r="E22" s="25">
        <v>10</v>
      </c>
      <c r="F22" s="26">
        <f>'Master List of Items'!E61</f>
        <v>125</v>
      </c>
      <c r="G22" s="27">
        <f>D22*E22*F22</f>
        <v>0</v>
      </c>
      <c r="H22" s="4"/>
      <c r="I22" s="145" t="s">
        <v>326</v>
      </c>
      <c r="J22" s="3"/>
      <c r="L22" s="3"/>
      <c r="V22" s="6"/>
      <c r="W22" s="1"/>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row>
    <row r="23" spans="1:91" s="5" customFormat="1" ht="15" customHeight="1" x14ac:dyDescent="0.35">
      <c r="A23" s="24"/>
      <c r="B23" s="258" t="s">
        <v>325</v>
      </c>
      <c r="D23" s="134">
        <v>0</v>
      </c>
      <c r="E23" s="25">
        <v>10</v>
      </c>
      <c r="F23" s="26">
        <f>'Master List of Items'!E61</f>
        <v>125</v>
      </c>
      <c r="G23" s="27">
        <f t="shared" ref="G23:G25" si="2">D23*E23*F23</f>
        <v>0</v>
      </c>
      <c r="H23" s="4"/>
      <c r="I23" s="145" t="s">
        <v>326</v>
      </c>
      <c r="J23" s="3"/>
      <c r="L23" s="3"/>
      <c r="V23" s="6"/>
      <c r="W23" s="1"/>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row>
    <row r="24" spans="1:91" s="5" customFormat="1" ht="15" customHeight="1" x14ac:dyDescent="0.35">
      <c r="A24" s="24"/>
      <c r="B24" s="258" t="s">
        <v>253</v>
      </c>
      <c r="D24" s="134">
        <v>0</v>
      </c>
      <c r="E24" s="25">
        <v>10</v>
      </c>
      <c r="F24" s="26">
        <f>'Master List of Items'!E62</f>
        <v>90</v>
      </c>
      <c r="G24" s="27">
        <f t="shared" si="2"/>
        <v>0</v>
      </c>
      <c r="H24" s="4"/>
      <c r="I24" s="145" t="s">
        <v>326</v>
      </c>
      <c r="J24" s="3"/>
      <c r="L24" s="3"/>
      <c r="V24" s="6"/>
      <c r="W24" s="1"/>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row>
    <row r="25" spans="1:91" ht="15" customHeight="1" x14ac:dyDescent="0.35">
      <c r="A25" s="24"/>
      <c r="B25" s="258" t="s">
        <v>253</v>
      </c>
      <c r="C25" s="5"/>
      <c r="D25" s="134">
        <v>0</v>
      </c>
      <c r="E25" s="25">
        <v>10</v>
      </c>
      <c r="F25" s="26">
        <f>'Master List of Items'!E62</f>
        <v>90</v>
      </c>
      <c r="G25" s="27">
        <f t="shared" si="2"/>
        <v>0</v>
      </c>
      <c r="I25" s="145" t="s">
        <v>326</v>
      </c>
    </row>
    <row r="26" spans="1:91" ht="29" customHeight="1" x14ac:dyDescent="0.35">
      <c r="A26" s="24"/>
      <c r="B26" s="128" t="s">
        <v>148</v>
      </c>
      <c r="C26" s="257"/>
      <c r="D26" s="98" t="s">
        <v>133</v>
      </c>
      <c r="E26" s="126" t="s">
        <v>115</v>
      </c>
      <c r="F26" s="97" t="s">
        <v>138</v>
      </c>
      <c r="G26" s="218" t="s">
        <v>98</v>
      </c>
      <c r="I26" s="4"/>
    </row>
    <row r="27" spans="1:91" ht="15" customHeight="1" x14ac:dyDescent="0.35">
      <c r="A27" s="24"/>
      <c r="B27" s="54"/>
      <c r="C27" s="24" t="s">
        <v>149</v>
      </c>
      <c r="D27" s="134">
        <v>0</v>
      </c>
      <c r="E27" s="25">
        <v>16</v>
      </c>
      <c r="F27" s="26">
        <f>'Master List of Items'!E63</f>
        <v>2500</v>
      </c>
      <c r="G27" s="27">
        <f>D27*E27*F27</f>
        <v>0</v>
      </c>
      <c r="I27" s="145" t="s">
        <v>319</v>
      </c>
    </row>
    <row r="28" spans="1:91" ht="15" customHeight="1" x14ac:dyDescent="0.35">
      <c r="A28" s="24"/>
      <c r="B28" s="54"/>
      <c r="C28" s="24" t="s">
        <v>150</v>
      </c>
      <c r="D28" s="134">
        <v>0</v>
      </c>
      <c r="E28" s="25">
        <v>16</v>
      </c>
      <c r="F28" s="26">
        <f>'Master List of Items'!E63</f>
        <v>2500</v>
      </c>
      <c r="G28" s="27">
        <f>D28*E28*F28</f>
        <v>0</v>
      </c>
      <c r="I28" s="145" t="s">
        <v>319</v>
      </c>
    </row>
    <row r="29" spans="1:91" s="4" customFormat="1" ht="29" customHeight="1" x14ac:dyDescent="0.35">
      <c r="A29" s="2"/>
      <c r="B29" s="82" t="s">
        <v>78</v>
      </c>
      <c r="C29" s="192"/>
      <c r="D29" s="193"/>
      <c r="E29" s="99" t="s">
        <v>75</v>
      </c>
      <c r="F29" s="97" t="s">
        <v>97</v>
      </c>
      <c r="G29" s="218" t="s">
        <v>98</v>
      </c>
      <c r="I29" s="5"/>
      <c r="J29" s="5"/>
      <c r="K29" s="5"/>
      <c r="L29" s="5"/>
      <c r="M29" s="5"/>
      <c r="N29" s="5"/>
      <c r="O29" s="5"/>
      <c r="P29" s="5"/>
      <c r="Q29" s="3"/>
      <c r="R29" s="5"/>
      <c r="S29" s="3"/>
      <c r="T29" s="5"/>
      <c r="U29" s="5"/>
      <c r="V29" s="5"/>
      <c r="W29" s="5"/>
      <c r="X29" s="5"/>
      <c r="Y29" s="5"/>
      <c r="Z29" s="5"/>
      <c r="AA29" s="5"/>
      <c r="AB29" s="5"/>
      <c r="AC29" s="6"/>
      <c r="AD29" s="1"/>
      <c r="AE29"/>
      <c r="AF29"/>
      <c r="AG29"/>
      <c r="AH29"/>
    </row>
    <row r="30" spans="1:91" s="4" customFormat="1" ht="42.15" customHeight="1" x14ac:dyDescent="0.35">
      <c r="A30" s="2"/>
      <c r="B30" s="52" t="s">
        <v>241</v>
      </c>
      <c r="C30" s="187" t="s">
        <v>55</v>
      </c>
      <c r="D30" s="189"/>
      <c r="E30" s="195">
        <v>0</v>
      </c>
      <c r="F30" s="188">
        <f>'Master List of Items'!E42</f>
        <v>20000</v>
      </c>
      <c r="G30" s="149">
        <f>E30*F30</f>
        <v>0</v>
      </c>
      <c r="I30" s="330" t="s">
        <v>245</v>
      </c>
      <c r="J30" s="330"/>
      <c r="K30" s="330"/>
      <c r="L30" s="330"/>
      <c r="M30" s="330"/>
      <c r="N30" s="5"/>
      <c r="O30" s="5"/>
      <c r="P30" s="5"/>
      <c r="Q30" s="3"/>
      <c r="R30" s="5"/>
      <c r="S30" s="3"/>
      <c r="T30" s="5"/>
      <c r="U30" s="5"/>
      <c r="V30" s="5"/>
      <c r="W30" s="5"/>
      <c r="X30" s="5"/>
      <c r="Y30" s="5"/>
      <c r="Z30" s="5"/>
      <c r="AA30" s="5"/>
      <c r="AB30" s="5"/>
      <c r="AC30" s="6"/>
      <c r="AD30" s="1"/>
      <c r="AE30"/>
      <c r="AF30"/>
      <c r="AG30"/>
      <c r="AH30"/>
    </row>
    <row r="31" spans="1:91" s="4" customFormat="1" ht="58" x14ac:dyDescent="0.35">
      <c r="A31" s="2"/>
      <c r="B31" s="194" t="s">
        <v>242</v>
      </c>
      <c r="C31" s="187" t="s">
        <v>55</v>
      </c>
      <c r="D31" s="189"/>
      <c r="E31" s="243">
        <v>0</v>
      </c>
      <c r="F31" s="188">
        <f>'Master List of Items'!E43</f>
        <v>30000</v>
      </c>
      <c r="G31" s="149">
        <f>E31*F31</f>
        <v>0</v>
      </c>
      <c r="I31" s="330" t="s">
        <v>181</v>
      </c>
      <c r="J31" s="330"/>
      <c r="K31" s="330"/>
      <c r="L31" s="330"/>
      <c r="M31" s="330"/>
      <c r="N31" s="5"/>
      <c r="O31" s="5"/>
      <c r="P31" s="5"/>
      <c r="Q31" s="3"/>
      <c r="R31" s="5"/>
      <c r="S31" s="3"/>
      <c r="T31" s="5"/>
      <c r="U31" s="5"/>
      <c r="V31" s="5"/>
      <c r="W31" s="5"/>
      <c r="X31" s="5"/>
      <c r="Y31" s="5"/>
      <c r="Z31" s="5"/>
      <c r="AA31" s="5"/>
      <c r="AB31" s="5"/>
      <c r="AC31" s="6"/>
      <c r="AD31" s="1"/>
      <c r="AE31"/>
      <c r="AF31"/>
      <c r="AG31"/>
      <c r="AH31"/>
    </row>
    <row r="32" spans="1:91" ht="29" customHeight="1" x14ac:dyDescent="0.35">
      <c r="A32" s="24"/>
      <c r="B32" s="96" t="s">
        <v>71</v>
      </c>
      <c r="C32" s="102"/>
      <c r="D32" s="98" t="s">
        <v>133</v>
      </c>
      <c r="E32" s="99" t="s">
        <v>151</v>
      </c>
      <c r="F32" s="97" t="s">
        <v>238</v>
      </c>
      <c r="G32" s="218" t="s">
        <v>98</v>
      </c>
      <c r="I32" s="3"/>
    </row>
    <row r="33" spans="1:15" ht="29" customHeight="1" x14ac:dyDescent="0.35">
      <c r="A33" s="24"/>
      <c r="B33" s="54"/>
      <c r="C33" s="24" t="s">
        <v>152</v>
      </c>
      <c r="D33" s="144">
        <v>0</v>
      </c>
      <c r="E33" s="256">
        <f>D33/75*2</f>
        <v>0</v>
      </c>
      <c r="F33" s="26">
        <f>'Master List of Items'!E64</f>
        <v>11000</v>
      </c>
      <c r="G33" s="27">
        <f>E33*F33</f>
        <v>0</v>
      </c>
      <c r="I33" s="336" t="s">
        <v>320</v>
      </c>
      <c r="J33" s="336"/>
      <c r="K33" s="336"/>
      <c r="L33" s="336"/>
      <c r="M33" s="336"/>
      <c r="N33" s="336"/>
      <c r="O33" s="336"/>
    </row>
    <row r="34" spans="1:15" ht="29" customHeight="1" x14ac:dyDescent="0.35">
      <c r="A34" s="24"/>
      <c r="B34" s="54"/>
      <c r="C34" s="24" t="s">
        <v>153</v>
      </c>
      <c r="D34" s="134">
        <v>0</v>
      </c>
      <c r="E34" s="256">
        <f>D34/5280</f>
        <v>0</v>
      </c>
      <c r="F34" s="26">
        <f>'Master List of Items'!E64</f>
        <v>11000</v>
      </c>
      <c r="G34" s="27">
        <f>E34*F34</f>
        <v>0</v>
      </c>
      <c r="I34" s="336" t="s">
        <v>320</v>
      </c>
      <c r="J34" s="336"/>
      <c r="K34" s="336"/>
      <c r="L34" s="336"/>
      <c r="M34" s="336"/>
      <c r="N34" s="336"/>
      <c r="O34" s="336"/>
    </row>
    <row r="35" spans="1:15" ht="29" customHeight="1" x14ac:dyDescent="0.35">
      <c r="A35" s="24"/>
      <c r="B35" s="54"/>
      <c r="C35" s="24" t="s">
        <v>154</v>
      </c>
      <c r="D35" s="134">
        <v>0</v>
      </c>
      <c r="E35" s="256">
        <f>D35/5280</f>
        <v>0</v>
      </c>
      <c r="F35" s="26">
        <f>'Master List of Items'!E64</f>
        <v>11000</v>
      </c>
      <c r="G35" s="27">
        <f>E35*F35</f>
        <v>0</v>
      </c>
      <c r="I35" s="336" t="s">
        <v>320</v>
      </c>
      <c r="J35" s="336"/>
      <c r="K35" s="336"/>
      <c r="L35" s="336"/>
      <c r="M35" s="336"/>
      <c r="N35" s="336"/>
      <c r="O35" s="336"/>
    </row>
    <row r="36" spans="1:15" ht="29" x14ac:dyDescent="0.35">
      <c r="B36" s="254" t="s">
        <v>155</v>
      </c>
      <c r="C36" s="255"/>
      <c r="D36" s="98" t="s">
        <v>75</v>
      </c>
      <c r="E36" s="99"/>
      <c r="F36" s="86" t="s">
        <v>268</v>
      </c>
      <c r="G36" s="84" t="s">
        <v>98</v>
      </c>
      <c r="I36" s="3"/>
    </row>
    <row r="37" spans="1:15" ht="15" customHeight="1" x14ac:dyDescent="0.35">
      <c r="B37" s="28" t="s">
        <v>206</v>
      </c>
      <c r="C37" s="253" t="s">
        <v>31</v>
      </c>
      <c r="D37" s="134">
        <v>0</v>
      </c>
      <c r="F37" s="26">
        <f>'Master List of Items'!E66</f>
        <v>45</v>
      </c>
      <c r="G37" s="29">
        <f>F37*D37</f>
        <v>0</v>
      </c>
      <c r="I37" s="323" t="s">
        <v>321</v>
      </c>
      <c r="J37" s="323"/>
      <c r="K37" s="323"/>
      <c r="L37" s="323"/>
      <c r="M37" s="323"/>
      <c r="N37" s="323"/>
      <c r="O37" s="323"/>
    </row>
    <row r="38" spans="1:15" ht="15" customHeight="1" x14ac:dyDescent="0.35">
      <c r="B38" s="28" t="s">
        <v>205</v>
      </c>
      <c r="C38" s="253" t="s">
        <v>209</v>
      </c>
      <c r="D38" s="134">
        <v>0</v>
      </c>
      <c r="F38" s="26">
        <f>'Master List of Items'!E67</f>
        <v>750000</v>
      </c>
      <c r="G38" s="29">
        <f>F38*D38</f>
        <v>0</v>
      </c>
      <c r="I38" s="323" t="s">
        <v>322</v>
      </c>
      <c r="J38" s="323"/>
      <c r="K38" s="323"/>
      <c r="L38" s="323"/>
      <c r="M38" s="323"/>
      <c r="N38" s="323"/>
      <c r="O38" s="323"/>
    </row>
    <row r="39" spans="1:15" ht="29" customHeight="1" x14ac:dyDescent="0.35">
      <c r="B39" s="82" t="s">
        <v>83</v>
      </c>
      <c r="C39" s="87"/>
      <c r="D39" s="87"/>
      <c r="E39" s="88"/>
      <c r="F39" s="90"/>
      <c r="G39" s="83">
        <f>G11+SUM(G13:G15)+SUM(G17:G20)+SUM(G22:G25)+SUM(G30:G31)+SUM(G27:G28)+SUM(G33:G35)+SUM(G37:G38)</f>
        <v>0</v>
      </c>
      <c r="I39" s="3"/>
    </row>
    <row r="40" spans="1:15" ht="29" customHeight="1" x14ac:dyDescent="0.35">
      <c r="B40" s="28" t="s">
        <v>23</v>
      </c>
      <c r="C40" s="53" t="s">
        <v>101</v>
      </c>
      <c r="D40" s="4"/>
      <c r="E40" s="15"/>
      <c r="F40" s="252">
        <v>0.4</v>
      </c>
      <c r="G40" s="29">
        <f>F40*G39</f>
        <v>0</v>
      </c>
      <c r="I40" s="323" t="s">
        <v>198</v>
      </c>
      <c r="J40" s="323"/>
      <c r="K40" s="323"/>
      <c r="L40" s="323"/>
      <c r="M40" s="323"/>
      <c r="N40" s="323"/>
      <c r="O40" s="323"/>
    </row>
    <row r="41" spans="1:15" ht="29" customHeight="1" x14ac:dyDescent="0.35">
      <c r="B41" s="82" t="s">
        <v>82</v>
      </c>
      <c r="C41" s="102" t="s">
        <v>26</v>
      </c>
      <c r="D41" s="102"/>
      <c r="E41" s="102"/>
      <c r="F41" s="91"/>
      <c r="G41" s="83">
        <f>G39+G40</f>
        <v>0</v>
      </c>
      <c r="I41" s="3"/>
    </row>
    <row r="42" spans="1:15" ht="16" customHeight="1" x14ac:dyDescent="0.35">
      <c r="B42" s="28" t="s">
        <v>84</v>
      </c>
      <c r="C42" s="53" t="s">
        <v>102</v>
      </c>
      <c r="D42" s="129"/>
      <c r="E42" s="129"/>
      <c r="F42" s="203">
        <v>0.35</v>
      </c>
      <c r="G42" s="29">
        <f>F42*G41</f>
        <v>0</v>
      </c>
      <c r="I42" s="204" t="s">
        <v>193</v>
      </c>
    </row>
    <row r="43" spans="1:15" ht="29" customHeight="1" x14ac:dyDescent="0.35">
      <c r="B43" s="82" t="s">
        <v>103</v>
      </c>
      <c r="C43" s="102" t="s">
        <v>26</v>
      </c>
      <c r="D43" s="102"/>
      <c r="E43" s="102"/>
      <c r="F43" s="91"/>
      <c r="G43" s="83">
        <f>G41+G42</f>
        <v>0</v>
      </c>
      <c r="I43" s="3"/>
    </row>
    <row r="44" spans="1:15" ht="16" customHeight="1" thickBot="1" x14ac:dyDescent="0.4">
      <c r="B44" s="197" t="s">
        <v>24</v>
      </c>
      <c r="C44" s="198" t="s">
        <v>104</v>
      </c>
      <c r="D44" s="199"/>
      <c r="E44" s="200"/>
      <c r="F44" s="201">
        <v>0.2</v>
      </c>
      <c r="G44" s="202">
        <f>F44*G43</f>
        <v>0</v>
      </c>
      <c r="I44" s="36" t="s">
        <v>188</v>
      </c>
    </row>
    <row r="45" spans="1:15" ht="29" customHeight="1" thickBot="1" x14ac:dyDescent="0.4">
      <c r="B45" s="287" t="s">
        <v>105</v>
      </c>
      <c r="C45" s="275"/>
      <c r="D45" s="275"/>
      <c r="E45" s="120"/>
      <c r="F45" s="121" t="s">
        <v>26</v>
      </c>
      <c r="G45" s="122">
        <f>ROUND(SUM(G43:G44), -2)</f>
        <v>0</v>
      </c>
      <c r="I45" s="3"/>
    </row>
    <row r="46" spans="1:15" x14ac:dyDescent="0.35">
      <c r="G46" s="57"/>
      <c r="I46" s="3"/>
    </row>
  </sheetData>
  <sheetProtection algorithmName="SHA-512" hashValue="ohwGxnawF2vmI8eCGUZFH1ugog/QgcebJuUMgnN3LrSaH575jnaRd/Bk2tMB8Y8agzEWbtSgax4CUdL9oZTV3w==" saltValue="/c59mCrdAli6D7GtEMu8LA==" spinCount="100000" sheet="1" objects="1" scenarios="1"/>
  <mergeCells count="13">
    <mergeCell ref="I37:O37"/>
    <mergeCell ref="I38:O38"/>
    <mergeCell ref="I40:O40"/>
    <mergeCell ref="I30:M30"/>
    <mergeCell ref="I31:M31"/>
    <mergeCell ref="B2:G2"/>
    <mergeCell ref="B3:G3"/>
    <mergeCell ref="I33:O33"/>
    <mergeCell ref="I34:O34"/>
    <mergeCell ref="I35:O35"/>
    <mergeCell ref="I9:O9"/>
    <mergeCell ref="I8:O8"/>
    <mergeCell ref="I10:O10"/>
  </mergeCells>
  <phoneticPr fontId="13" type="noConversion"/>
  <dataValidations count="6">
    <dataValidation type="list" allowBlank="1" showInputMessage="1" showErrorMessage="1" sqref="D50:D51" xr:uid="{35579A36-789E-4ECA-9DCA-C94423CBD33A}">
      <formula1>"Yes, No"</formula1>
    </dataValidation>
    <dataValidation type="list" allowBlank="1" showInputMessage="1" showErrorMessage="1" promptTitle="Pervious Pavement" prompt="Select &quot;Yes&quot; from the drop down list if pervious pavement is used to multiply the mileage cost by 1.5." sqref="D9" xr:uid="{E3D675E3-CCF4-4CE7-96D1-72D84FD2C977}">
      <formula1>"YES, NO"</formula1>
    </dataValidation>
    <dataValidation allowBlank="1" showInputMessage="1" showErrorMessage="1" promptTitle="Retaining Wall Length" prompt="Where steep slopes are required, input the approximate the length (feet) for retaining walls.  Retaining wall costs are calculated at $100 per square foot at a 6-foot height._x000a_" sqref="D13" xr:uid="{96DD8893-3EC5-4AAF-899C-5B7BDF5AC05F}"/>
    <dataValidation allowBlank="1" showInputMessage="1" showErrorMessage="1" prompt="2025 cost values are estimated by applying a 9.23% inflation rate to 2022 costs." sqref="G36" xr:uid="{52DDA3E3-54EE-4480-9C52-34D0B53F0F64}"/>
    <dataValidation allowBlank="1" showInputMessage="1" showErrorMessage="1" promptTitle="Partial Intersection Improvement" prompt="A partial intersection improvement involves installation of new bicycle signals on existing poles and no relocation of existing features. " sqref="E30:E31" xr:uid="{E9AEFFBA-860D-4085-B45D-D0D1ACBF4752}"/>
    <dataValidation type="list" allowBlank="1" showInputMessage="1" showErrorMessage="1" sqref="D8 D10" xr:uid="{549BBF67-24BC-4EB3-A3E9-590607314385}">
      <formula1>"LOW, HIGH"</formula1>
    </dataValidation>
  </dataValidations>
  <pageMargins left="0.25" right="0.25" top="0.75" bottom="0.75" header="0.3" footer="0.3"/>
  <pageSetup paperSize="3" scale="38" fitToHeight="0" orientation="landscape" r:id="rId1"/>
  <ignoredErrors>
    <ignoredError sqref="G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70C3-DC6E-4ED1-A139-CD5391B987FB}">
  <sheetPr>
    <pageSetUpPr fitToPage="1"/>
  </sheetPr>
  <dimension ref="A1:AH47"/>
  <sheetViews>
    <sheetView zoomScaleNormal="100" workbookViewId="0">
      <selection activeCell="D22" sqref="D22"/>
    </sheetView>
  </sheetViews>
  <sheetFormatPr defaultRowHeight="14.5" x14ac:dyDescent="0.35"/>
  <cols>
    <col min="1" max="1" width="8.6328125" style="2" customWidth="1"/>
    <col min="2" max="2" width="44.26953125" style="1" customWidth="1"/>
    <col min="3" max="3" width="12.6328125" style="4" customWidth="1"/>
    <col min="4" max="4" width="9.6328125" style="4" customWidth="1"/>
    <col min="5" max="7" width="12.6328125" style="3" customWidth="1"/>
    <col min="8" max="8" width="10.36328125" style="4" customWidth="1"/>
    <col min="9" max="9" width="55.6328125" style="5" customWidth="1"/>
    <col min="10" max="10" width="25.90625" style="5" customWidth="1"/>
    <col min="11" max="11" width="14" style="5" customWidth="1"/>
    <col min="12" max="16" width="12.6328125" style="5" customWidth="1"/>
    <col min="17" max="17" width="14.36328125" style="3" bestFit="1" customWidth="1"/>
    <col min="18" max="18" width="12.6328125" style="5" customWidth="1"/>
    <col min="19" max="19" width="10.6328125" style="3" customWidth="1"/>
    <col min="20" max="23" width="12.6328125" style="5" customWidth="1"/>
    <col min="24" max="24" width="14.36328125" style="5" customWidth="1"/>
    <col min="25" max="26" width="12.6328125" style="5" customWidth="1"/>
    <col min="27" max="27" width="15.36328125" style="5" customWidth="1"/>
    <col min="28" max="28" width="12.6328125" style="5" customWidth="1"/>
    <col min="29" max="29" width="12.6328125" style="6" customWidth="1"/>
    <col min="30" max="30" width="23" style="1" customWidth="1"/>
    <col min="32" max="32" width="9.6328125" bestFit="1" customWidth="1"/>
    <col min="33" max="33" width="11.6328125" bestFit="1" customWidth="1"/>
  </cols>
  <sheetData>
    <row r="1" spans="1:34" ht="15" thickBot="1" x14ac:dyDescent="0.4">
      <c r="A1" s="51"/>
      <c r="C1" s="2"/>
      <c r="H1" s="2"/>
      <c r="I1" s="116" t="s">
        <v>85</v>
      </c>
      <c r="J1" s="116"/>
      <c r="K1" s="116"/>
      <c r="L1" s="7"/>
      <c r="M1" s="7"/>
      <c r="N1" s="15"/>
      <c r="O1" s="7"/>
      <c r="P1" s="7"/>
      <c r="R1" s="7"/>
      <c r="T1" s="7"/>
      <c r="U1" s="7"/>
      <c r="V1" s="7"/>
      <c r="W1" s="7"/>
      <c r="X1" s="7"/>
      <c r="Y1" s="7"/>
      <c r="Z1" s="7"/>
      <c r="AA1" s="7"/>
      <c r="AB1" s="7"/>
      <c r="AC1" s="14"/>
      <c r="AD1" s="13"/>
      <c r="AF1" s="9"/>
      <c r="AG1" s="8"/>
    </row>
    <row r="2" spans="1:34" ht="48.25" customHeight="1" thickBot="1" x14ac:dyDescent="0.4">
      <c r="A2" s="10"/>
      <c r="B2" s="325" t="s">
        <v>172</v>
      </c>
      <c r="C2" s="326"/>
      <c r="D2" s="326"/>
      <c r="E2" s="326"/>
      <c r="F2" s="326"/>
      <c r="G2" s="327"/>
      <c r="H2" s="10"/>
      <c r="I2" s="276" t="s">
        <v>87</v>
      </c>
      <c r="J2" s="285"/>
      <c r="K2" s="285"/>
      <c r="L2" s="48"/>
      <c r="M2" s="48"/>
      <c r="N2" s="48"/>
      <c r="O2" s="48"/>
      <c r="P2" s="48"/>
      <c r="Q2" s="48"/>
    </row>
    <row r="3" spans="1:34" s="5" customFormat="1" ht="8.15" customHeight="1" thickBot="1" x14ac:dyDescent="0.4">
      <c r="A3" s="10"/>
      <c r="B3" s="338"/>
      <c r="C3" s="338"/>
      <c r="D3" s="338"/>
      <c r="E3" s="338"/>
      <c r="F3" s="338"/>
      <c r="G3" s="338"/>
      <c r="H3" s="277"/>
      <c r="I3" s="277"/>
      <c r="J3" s="277"/>
      <c r="K3" s="277"/>
      <c r="L3" s="277"/>
      <c r="M3" s="277"/>
      <c r="N3" s="48"/>
      <c r="O3" s="48"/>
      <c r="P3" s="48"/>
      <c r="Q3" s="48"/>
      <c r="S3" s="3"/>
      <c r="AC3" s="6"/>
      <c r="AD3" s="1"/>
      <c r="AE3"/>
      <c r="AF3"/>
      <c r="AG3"/>
      <c r="AH3"/>
    </row>
    <row r="4" spans="1:34" s="5" customFormat="1" ht="29" customHeight="1" x14ac:dyDescent="0.35">
      <c r="A4" s="10"/>
      <c r="B4" s="127" t="s">
        <v>124</v>
      </c>
      <c r="C4" s="123"/>
      <c r="D4" s="123"/>
      <c r="E4" s="138" t="s">
        <v>75</v>
      </c>
      <c r="F4" s="123"/>
      <c r="G4" s="218" t="s">
        <v>26</v>
      </c>
      <c r="H4" s="10"/>
      <c r="I4" s="337" t="s">
        <v>26</v>
      </c>
      <c r="J4" s="337"/>
      <c r="K4" s="337"/>
      <c r="L4" s="337"/>
      <c r="M4" s="337"/>
      <c r="Q4" s="3"/>
      <c r="S4" s="3"/>
      <c r="AC4" s="6"/>
      <c r="AD4" s="1"/>
      <c r="AE4"/>
      <c r="AF4"/>
      <c r="AG4"/>
      <c r="AH4"/>
    </row>
    <row r="5" spans="1:34" s="5" customFormat="1" ht="16" customHeight="1" x14ac:dyDescent="0.35">
      <c r="A5" s="10"/>
      <c r="B5" s="61" t="s">
        <v>76</v>
      </c>
      <c r="C5" s="62" t="s">
        <v>77</v>
      </c>
      <c r="E5" s="223">
        <v>0</v>
      </c>
      <c r="F5" s="62"/>
      <c r="G5" s="60"/>
      <c r="H5" s="10"/>
      <c r="I5" s="10" t="s">
        <v>90</v>
      </c>
      <c r="Q5" s="3"/>
      <c r="S5" s="3"/>
      <c r="AC5" s="6"/>
      <c r="AD5" s="1"/>
      <c r="AE5"/>
      <c r="AF5"/>
      <c r="AG5"/>
      <c r="AH5"/>
    </row>
    <row r="6" spans="1:34" s="5" customFormat="1" ht="16" customHeight="1" x14ac:dyDescent="0.35">
      <c r="A6" s="10"/>
      <c r="B6" s="61" t="s">
        <v>76</v>
      </c>
      <c r="C6" s="62" t="s">
        <v>31</v>
      </c>
      <c r="E6" s="117">
        <f>E5*5280</f>
        <v>0</v>
      </c>
      <c r="F6" s="62"/>
      <c r="G6" s="60"/>
      <c r="H6" s="10"/>
      <c r="I6" s="10" t="s">
        <v>93</v>
      </c>
      <c r="Q6" s="3"/>
      <c r="S6" s="3"/>
      <c r="AC6" s="6"/>
      <c r="AD6" s="1"/>
      <c r="AE6"/>
      <c r="AF6"/>
      <c r="AG6"/>
      <c r="AH6"/>
    </row>
    <row r="7" spans="1:34" s="5" customFormat="1" ht="16" customHeight="1" x14ac:dyDescent="0.35">
      <c r="A7" s="10"/>
      <c r="B7" s="22" t="s">
        <v>78</v>
      </c>
      <c r="C7" s="2" t="s">
        <v>28</v>
      </c>
      <c r="E7" s="134">
        <v>0</v>
      </c>
      <c r="F7" s="62"/>
      <c r="G7" s="60"/>
      <c r="H7" s="10"/>
      <c r="I7" s="10" t="s">
        <v>94</v>
      </c>
      <c r="Q7" s="3"/>
      <c r="S7" s="3"/>
      <c r="AC7" s="6"/>
      <c r="AD7" s="1"/>
      <c r="AE7"/>
      <c r="AF7"/>
      <c r="AG7"/>
      <c r="AH7"/>
    </row>
    <row r="8" spans="1:34" s="5" customFormat="1" ht="16" customHeight="1" x14ac:dyDescent="0.35">
      <c r="A8" s="10"/>
      <c r="B8" s="23" t="s">
        <v>79</v>
      </c>
      <c r="C8" s="34" t="s">
        <v>31</v>
      </c>
      <c r="E8" s="134">
        <v>0</v>
      </c>
      <c r="F8" s="7"/>
      <c r="G8" s="60"/>
      <c r="H8" s="10"/>
      <c r="I8" s="10" t="s">
        <v>96</v>
      </c>
      <c r="Q8" s="3"/>
      <c r="S8" s="3"/>
      <c r="AC8" s="6"/>
      <c r="AD8" s="1"/>
      <c r="AE8"/>
      <c r="AF8"/>
      <c r="AG8"/>
      <c r="AH8"/>
    </row>
    <row r="9" spans="1:34" s="5" customFormat="1" ht="29" customHeight="1" x14ac:dyDescent="0.35">
      <c r="A9" s="10"/>
      <c r="B9" s="96" t="s">
        <v>25</v>
      </c>
      <c r="C9" s="97"/>
      <c r="D9" s="85"/>
      <c r="E9" s="97" t="s">
        <v>75</v>
      </c>
      <c r="F9" s="97" t="s">
        <v>97</v>
      </c>
      <c r="G9" s="218" t="s">
        <v>98</v>
      </c>
      <c r="H9" s="10"/>
      <c r="I9" s="10" t="s">
        <v>26</v>
      </c>
      <c r="J9" s="130"/>
      <c r="Q9" s="3"/>
      <c r="S9" s="3"/>
      <c r="AC9" s="6"/>
      <c r="AD9" s="1"/>
      <c r="AE9"/>
      <c r="AF9"/>
      <c r="AG9"/>
      <c r="AH9"/>
    </row>
    <row r="10" spans="1:34" s="5" customFormat="1" ht="16" customHeight="1" x14ac:dyDescent="0.35">
      <c r="A10" s="10"/>
      <c r="B10" s="23" t="s">
        <v>29</v>
      </c>
      <c r="C10" s="34" t="s">
        <v>28</v>
      </c>
      <c r="D10" s="34"/>
      <c r="E10" s="63">
        <f>E6/(5280/4)+E7</f>
        <v>0</v>
      </c>
      <c r="F10" s="190">
        <f>'Master List of Items'!E19</f>
        <v>300</v>
      </c>
      <c r="G10" s="60">
        <f>F10*E10</f>
        <v>0</v>
      </c>
      <c r="H10" s="10"/>
      <c r="I10" s="10" t="s">
        <v>313</v>
      </c>
      <c r="Q10" s="3"/>
      <c r="S10" s="3"/>
      <c r="AC10" s="6"/>
      <c r="AD10" s="1"/>
      <c r="AE10"/>
      <c r="AF10"/>
      <c r="AG10"/>
      <c r="AH10"/>
    </row>
    <row r="11" spans="1:34" s="5" customFormat="1" ht="16" customHeight="1" x14ac:dyDescent="0.35">
      <c r="A11" s="10"/>
      <c r="B11" s="32" t="s">
        <v>30</v>
      </c>
      <c r="C11" s="34" t="s">
        <v>31</v>
      </c>
      <c r="D11" s="34"/>
      <c r="E11" s="108">
        <f>(E6-E8*E7)*2</f>
        <v>0</v>
      </c>
      <c r="F11" s="190">
        <f>'Master List of Items'!E20</f>
        <v>5</v>
      </c>
      <c r="G11" s="60">
        <f>F11*E11</f>
        <v>0</v>
      </c>
      <c r="H11" s="10"/>
      <c r="I11" s="10" t="s">
        <v>309</v>
      </c>
      <c r="L11" s="5" t="s">
        <v>26</v>
      </c>
      <c r="Q11" s="3"/>
      <c r="S11" s="3"/>
      <c r="AC11" s="6"/>
      <c r="AD11" s="1"/>
      <c r="AE11"/>
      <c r="AF11"/>
      <c r="AG11"/>
      <c r="AH11"/>
    </row>
    <row r="12" spans="1:34" s="5" customFormat="1" ht="29" customHeight="1" x14ac:dyDescent="0.35">
      <c r="A12" s="10"/>
      <c r="B12" s="32" t="s">
        <v>80</v>
      </c>
      <c r="C12" s="34" t="s">
        <v>31</v>
      </c>
      <c r="D12" s="34"/>
      <c r="E12" s="134">
        <v>0</v>
      </c>
      <c r="F12" s="190">
        <f>'Master List of Items'!E21</f>
        <v>1.25</v>
      </c>
      <c r="G12" s="60">
        <f>F12*E12</f>
        <v>0</v>
      </c>
      <c r="H12" s="10"/>
      <c r="I12" s="36" t="s">
        <v>182</v>
      </c>
      <c r="Q12" s="3"/>
      <c r="S12" s="3"/>
      <c r="AC12" s="6"/>
      <c r="AD12" s="1"/>
      <c r="AE12"/>
      <c r="AF12"/>
      <c r="AG12"/>
      <c r="AH12"/>
    </row>
    <row r="13" spans="1:34" s="5" customFormat="1" ht="16" customHeight="1" x14ac:dyDescent="0.35">
      <c r="A13" s="10"/>
      <c r="B13" s="61" t="s">
        <v>34</v>
      </c>
      <c r="C13" s="34" t="s">
        <v>31</v>
      </c>
      <c r="D13" s="34"/>
      <c r="E13" s="134">
        <v>0</v>
      </c>
      <c r="F13" s="190">
        <f>'Master List of Items'!E22</f>
        <v>5</v>
      </c>
      <c r="G13" s="60">
        <f>F13*E13</f>
        <v>0</v>
      </c>
      <c r="H13" s="10"/>
      <c r="I13" s="208" t="s">
        <v>200</v>
      </c>
      <c r="Q13" s="3"/>
      <c r="S13" s="3"/>
      <c r="AC13" s="6"/>
      <c r="AD13" s="1"/>
      <c r="AE13"/>
      <c r="AF13"/>
      <c r="AG13"/>
      <c r="AH13"/>
    </row>
    <row r="14" spans="1:34" s="5" customFormat="1" ht="16" customHeight="1" x14ac:dyDescent="0.35">
      <c r="A14" s="10"/>
      <c r="B14" s="61" t="s">
        <v>81</v>
      </c>
      <c r="C14" s="34" t="s">
        <v>36</v>
      </c>
      <c r="D14" s="34"/>
      <c r="E14" s="63">
        <f>E7*(E8+10+10)*6</f>
        <v>0</v>
      </c>
      <c r="F14" s="190">
        <f>'Master List of Items'!E23</f>
        <v>20</v>
      </c>
      <c r="G14" s="60">
        <f>F14*E14</f>
        <v>0</v>
      </c>
      <c r="H14" s="10"/>
      <c r="I14" s="36" t="s">
        <v>315</v>
      </c>
      <c r="Q14" s="3"/>
      <c r="S14" s="3"/>
      <c r="AC14" s="6"/>
      <c r="AD14" s="1"/>
      <c r="AE14"/>
      <c r="AF14"/>
      <c r="AG14"/>
      <c r="AH14"/>
    </row>
    <row r="15" spans="1:34" ht="29" customHeight="1" x14ac:dyDescent="0.35">
      <c r="B15" s="96" t="s">
        <v>37</v>
      </c>
      <c r="C15" s="97" t="s">
        <v>226</v>
      </c>
      <c r="D15" s="98" t="s">
        <v>228</v>
      </c>
      <c r="E15" s="99" t="s">
        <v>75</v>
      </c>
      <c r="F15" s="97" t="s">
        <v>97</v>
      </c>
      <c r="G15" s="218" t="s">
        <v>98</v>
      </c>
      <c r="I15" s="10"/>
    </row>
    <row r="16" spans="1:34" ht="16" customHeight="1" x14ac:dyDescent="0.35">
      <c r="B16" s="52" t="s">
        <v>42</v>
      </c>
      <c r="C16" s="25" t="s">
        <v>43</v>
      </c>
      <c r="D16" s="33">
        <v>1.3</v>
      </c>
      <c r="E16" s="118">
        <v>0</v>
      </c>
      <c r="F16" s="26">
        <f>'Master List of Items'!E30</f>
        <v>500</v>
      </c>
      <c r="G16" s="60">
        <f t="shared" ref="G16:G19" si="0">E16*F16*D16</f>
        <v>0</v>
      </c>
      <c r="I16" s="36" t="s">
        <v>316</v>
      </c>
    </row>
    <row r="17" spans="1:34" ht="16" customHeight="1" x14ac:dyDescent="0.35">
      <c r="B17" s="52" t="s">
        <v>44</v>
      </c>
      <c r="C17" s="25" t="s">
        <v>43</v>
      </c>
      <c r="D17" s="33">
        <v>1.3</v>
      </c>
      <c r="E17" s="118">
        <v>0</v>
      </c>
      <c r="F17" s="26">
        <f>'Master List of Items'!E31</f>
        <v>500</v>
      </c>
      <c r="G17" s="60">
        <f t="shared" si="0"/>
        <v>0</v>
      </c>
      <c r="I17" s="36" t="s">
        <v>316</v>
      </c>
    </row>
    <row r="18" spans="1:34" ht="16" customHeight="1" x14ac:dyDescent="0.35">
      <c r="B18" s="52" t="s">
        <v>45</v>
      </c>
      <c r="C18" s="25" t="s">
        <v>46</v>
      </c>
      <c r="D18" s="33">
        <v>7.5</v>
      </c>
      <c r="E18" s="140">
        <f>E7*4</f>
        <v>0</v>
      </c>
      <c r="F18" s="26">
        <f>'Master List of Items'!E32</f>
        <v>500</v>
      </c>
      <c r="G18" s="60">
        <f>E18*F18*D18</f>
        <v>0</v>
      </c>
      <c r="I18" s="36" t="s">
        <v>323</v>
      </c>
    </row>
    <row r="19" spans="1:34" ht="16" customHeight="1" x14ac:dyDescent="0.35">
      <c r="B19" s="52" t="s">
        <v>47</v>
      </c>
      <c r="C19" s="25" t="s">
        <v>48</v>
      </c>
      <c r="D19" s="33">
        <v>6.25</v>
      </c>
      <c r="E19" s="119">
        <v>0</v>
      </c>
      <c r="F19" s="26">
        <f>'Master List of Items'!E33</f>
        <v>500</v>
      </c>
      <c r="G19" s="60">
        <f t="shared" si="0"/>
        <v>0</v>
      </c>
      <c r="I19" s="36" t="s">
        <v>316</v>
      </c>
    </row>
    <row r="20" spans="1:34" s="4" customFormat="1" ht="29" customHeight="1" x14ac:dyDescent="0.35">
      <c r="A20" s="2"/>
      <c r="B20" s="96" t="s">
        <v>51</v>
      </c>
      <c r="C20" s="97" t="s">
        <v>114</v>
      </c>
      <c r="D20" s="97" t="s">
        <v>26</v>
      </c>
      <c r="E20" s="99" t="s">
        <v>75</v>
      </c>
      <c r="F20" s="97" t="s">
        <v>97</v>
      </c>
      <c r="G20" s="218" t="s">
        <v>98</v>
      </c>
      <c r="I20" s="36"/>
      <c r="J20" s="5"/>
      <c r="K20" s="5"/>
      <c r="L20" s="5"/>
      <c r="M20" s="5"/>
      <c r="N20" s="5"/>
      <c r="O20" s="5"/>
      <c r="P20" s="5"/>
      <c r="Q20" s="3"/>
      <c r="R20" s="5"/>
      <c r="S20" s="3"/>
      <c r="T20" s="5"/>
      <c r="U20" s="5"/>
      <c r="V20" s="5"/>
      <c r="W20" s="5"/>
      <c r="X20" s="5"/>
      <c r="Y20" s="5"/>
      <c r="Z20" s="5"/>
      <c r="AA20" s="5"/>
      <c r="AB20" s="5"/>
      <c r="AC20" s="6"/>
      <c r="AD20" s="1"/>
      <c r="AE20"/>
      <c r="AF20"/>
      <c r="AG20"/>
      <c r="AH20"/>
    </row>
    <row r="21" spans="1:34" s="4" customFormat="1" ht="16" customHeight="1" x14ac:dyDescent="0.35">
      <c r="A21" s="2"/>
      <c r="B21" s="52" t="s">
        <v>176</v>
      </c>
      <c r="C21" s="230">
        <v>0</v>
      </c>
      <c r="D21" s="25" t="s">
        <v>116</v>
      </c>
      <c r="E21" s="191">
        <f>C21/10</f>
        <v>0</v>
      </c>
      <c r="F21" s="26">
        <f>'Master List of Items'!E37</f>
        <v>225</v>
      </c>
      <c r="G21" s="27">
        <f>E21*F21</f>
        <v>0</v>
      </c>
      <c r="I21" s="36" t="s">
        <v>117</v>
      </c>
      <c r="J21" s="5"/>
      <c r="K21" s="5"/>
      <c r="L21" s="5"/>
      <c r="M21" s="5"/>
      <c r="N21" s="5"/>
      <c r="O21" s="5"/>
      <c r="P21" s="5"/>
      <c r="Q21" s="3"/>
      <c r="R21" s="5"/>
      <c r="S21" s="3"/>
      <c r="T21" s="5"/>
      <c r="U21" s="5"/>
      <c r="V21" s="5"/>
      <c r="W21" s="5"/>
      <c r="X21" s="5"/>
      <c r="Y21" s="5"/>
      <c r="Z21" s="5"/>
      <c r="AA21" s="5"/>
      <c r="AB21" s="5"/>
      <c r="AC21" s="6"/>
      <c r="AD21" s="1"/>
      <c r="AE21"/>
      <c r="AF21"/>
      <c r="AG21"/>
      <c r="AH21"/>
    </row>
    <row r="22" spans="1:34" s="4" customFormat="1" ht="87" x14ac:dyDescent="0.35">
      <c r="A22" s="2"/>
      <c r="B22" s="52" t="s">
        <v>291</v>
      </c>
      <c r="C22" s="230">
        <v>0</v>
      </c>
      <c r="D22" s="278" t="s">
        <v>292</v>
      </c>
      <c r="E22" s="34"/>
      <c r="F22" s="26">
        <f>'Master List of Items'!E38</f>
        <v>400</v>
      </c>
      <c r="G22" s="27">
        <f>C22*F22</f>
        <v>0</v>
      </c>
      <c r="I22" s="5" t="s">
        <v>293</v>
      </c>
      <c r="J22" s="5"/>
      <c r="K22" s="5"/>
      <c r="L22" s="5"/>
      <c r="M22" s="5"/>
      <c r="N22" s="5"/>
      <c r="O22" s="5"/>
      <c r="P22" s="5"/>
      <c r="Q22" s="3"/>
      <c r="R22" s="5"/>
      <c r="S22" s="3"/>
      <c r="T22" s="5"/>
      <c r="U22" s="5"/>
      <c r="V22" s="5"/>
      <c r="W22" s="5"/>
      <c r="X22" s="5"/>
      <c r="Y22" s="5"/>
      <c r="Z22" s="5"/>
      <c r="AA22" s="5"/>
      <c r="AB22" s="5"/>
      <c r="AC22" s="6"/>
      <c r="AD22" s="1"/>
      <c r="AE22"/>
      <c r="AF22"/>
      <c r="AG22"/>
      <c r="AH22"/>
    </row>
    <row r="23" spans="1:34" s="4" customFormat="1" ht="16" customHeight="1" x14ac:dyDescent="0.35">
      <c r="A23" s="2"/>
      <c r="B23" s="52" t="s">
        <v>118</v>
      </c>
      <c r="C23" s="230">
        <v>0</v>
      </c>
      <c r="D23" s="26"/>
      <c r="E23" s="191">
        <f>C23/31</f>
        <v>0</v>
      </c>
      <c r="F23" s="26">
        <f>'Master List of Items'!E39</f>
        <v>2300</v>
      </c>
      <c r="G23" s="27">
        <f t="shared" ref="G23" si="1">E23*F23</f>
        <v>0</v>
      </c>
      <c r="I23" s="36" t="s">
        <v>119</v>
      </c>
      <c r="J23" s="5"/>
      <c r="K23" s="5"/>
      <c r="L23" s="5"/>
      <c r="M23" s="5"/>
      <c r="N23" s="5"/>
      <c r="O23" s="5"/>
      <c r="P23" s="5"/>
      <c r="Q23" s="3"/>
      <c r="R23" s="5"/>
      <c r="S23" s="3"/>
      <c r="T23" s="5"/>
      <c r="U23" s="5"/>
      <c r="V23" s="5"/>
      <c r="W23" s="5"/>
      <c r="X23" s="5"/>
      <c r="Y23" s="5"/>
      <c r="Z23" s="5"/>
      <c r="AA23" s="5"/>
      <c r="AB23" s="5"/>
      <c r="AC23" s="6"/>
      <c r="AD23" s="1"/>
      <c r="AE23"/>
      <c r="AF23"/>
      <c r="AG23"/>
      <c r="AH23"/>
    </row>
    <row r="24" spans="1:34" s="4" customFormat="1" ht="29" customHeight="1" x14ac:dyDescent="0.35">
      <c r="A24" s="2"/>
      <c r="B24" s="82" t="s">
        <v>78</v>
      </c>
      <c r="C24" s="192"/>
      <c r="D24" s="193"/>
      <c r="E24" s="99" t="s">
        <v>75</v>
      </c>
      <c r="F24" s="97" t="s">
        <v>97</v>
      </c>
      <c r="G24" s="218" t="s">
        <v>98</v>
      </c>
      <c r="I24" s="5"/>
      <c r="J24" s="5"/>
      <c r="K24" s="5"/>
      <c r="L24" s="5"/>
      <c r="M24" s="5"/>
      <c r="N24" s="5"/>
      <c r="O24" s="5"/>
      <c r="P24" s="5"/>
      <c r="Q24" s="3"/>
      <c r="R24" s="5"/>
      <c r="S24" s="3"/>
      <c r="T24" s="5"/>
      <c r="U24" s="5"/>
      <c r="V24" s="5"/>
      <c r="W24" s="5"/>
      <c r="X24" s="5"/>
      <c r="Y24" s="5"/>
      <c r="Z24" s="5"/>
      <c r="AA24" s="5"/>
      <c r="AB24" s="5"/>
      <c r="AC24" s="6"/>
      <c r="AD24" s="1"/>
      <c r="AE24"/>
      <c r="AF24"/>
      <c r="AG24"/>
      <c r="AH24"/>
    </row>
    <row r="25" spans="1:34" s="4" customFormat="1" ht="42.75" customHeight="1" x14ac:dyDescent="0.35">
      <c r="A25" s="2"/>
      <c r="B25" s="52" t="s">
        <v>241</v>
      </c>
      <c r="C25" s="187" t="s">
        <v>55</v>
      </c>
      <c r="D25" s="189"/>
      <c r="E25" s="225">
        <v>0</v>
      </c>
      <c r="F25" s="188">
        <f>'Master List of Items'!E42</f>
        <v>20000</v>
      </c>
      <c r="G25" s="149">
        <f>E25*F25</f>
        <v>0</v>
      </c>
      <c r="I25" s="330" t="s">
        <v>244</v>
      </c>
      <c r="J25" s="330"/>
      <c r="K25" s="330"/>
      <c r="L25" s="330"/>
      <c r="M25" s="5"/>
      <c r="N25" s="5"/>
      <c r="O25" s="5"/>
      <c r="P25" s="5"/>
      <c r="Q25" s="3"/>
      <c r="R25" s="5"/>
      <c r="S25" s="3"/>
      <c r="T25" s="5"/>
      <c r="U25" s="5"/>
      <c r="V25" s="5"/>
      <c r="W25" s="5"/>
      <c r="X25" s="5"/>
      <c r="Y25" s="5"/>
      <c r="Z25" s="5"/>
      <c r="AA25" s="5"/>
      <c r="AB25" s="5"/>
      <c r="AC25" s="6"/>
      <c r="AD25" s="1"/>
      <c r="AE25"/>
      <c r="AF25"/>
      <c r="AG25"/>
      <c r="AH25"/>
    </row>
    <row r="26" spans="1:34" s="4" customFormat="1" ht="40.75" customHeight="1" x14ac:dyDescent="0.35">
      <c r="A26" s="2"/>
      <c r="B26" s="194" t="s">
        <v>242</v>
      </c>
      <c r="C26" s="187" t="s">
        <v>55</v>
      </c>
      <c r="D26" s="189"/>
      <c r="E26" s="225">
        <v>0</v>
      </c>
      <c r="F26" s="188">
        <f>'Master List of Items'!E43</f>
        <v>30000</v>
      </c>
      <c r="G26" s="149">
        <f>E26*F26</f>
        <v>0</v>
      </c>
      <c r="I26" s="330" t="s">
        <v>181</v>
      </c>
      <c r="J26" s="330"/>
      <c r="K26" s="330"/>
      <c r="L26" s="330"/>
      <c r="M26" s="5"/>
      <c r="N26" s="5"/>
      <c r="O26" s="5"/>
      <c r="P26" s="5"/>
      <c r="Q26" s="3"/>
      <c r="R26" s="5"/>
      <c r="S26" s="3"/>
      <c r="T26" s="5"/>
      <c r="U26" s="5"/>
      <c r="V26" s="5"/>
      <c r="W26" s="5"/>
      <c r="X26" s="5"/>
      <c r="Y26" s="5"/>
      <c r="Z26" s="5"/>
      <c r="AA26" s="5"/>
      <c r="AB26" s="5"/>
      <c r="AC26" s="6"/>
      <c r="AD26" s="1"/>
      <c r="AE26"/>
      <c r="AF26"/>
      <c r="AG26"/>
      <c r="AH26"/>
    </row>
    <row r="27" spans="1:34" ht="40.75" customHeight="1" x14ac:dyDescent="0.35">
      <c r="B27" s="194" t="s">
        <v>243</v>
      </c>
      <c r="C27" s="187" t="s">
        <v>55</v>
      </c>
      <c r="D27" s="189"/>
      <c r="E27" s="195">
        <v>0</v>
      </c>
      <c r="F27" s="188">
        <f>'Master List of Items'!E44</f>
        <v>20000</v>
      </c>
      <c r="G27" s="149">
        <f>E27*F27</f>
        <v>0</v>
      </c>
      <c r="H27"/>
      <c r="I27" s="330" t="s">
        <v>180</v>
      </c>
      <c r="J27" s="330"/>
      <c r="K27" s="330"/>
      <c r="L27" s="330"/>
      <c r="M27"/>
      <c r="N27"/>
      <c r="O27"/>
      <c r="P27"/>
      <c r="Q27"/>
      <c r="R27"/>
      <c r="S27"/>
      <c r="T27"/>
      <c r="U27"/>
      <c r="V27"/>
      <c r="W27"/>
      <c r="X27"/>
      <c r="Y27"/>
      <c r="Z27"/>
      <c r="AA27"/>
      <c r="AB27"/>
      <c r="AC27"/>
      <c r="AD27"/>
    </row>
    <row r="28" spans="1:34" ht="29" customHeight="1" x14ac:dyDescent="0.35">
      <c r="B28" s="143" t="s">
        <v>56</v>
      </c>
      <c r="C28" s="97"/>
      <c r="D28" s="98"/>
      <c r="E28" s="99" t="s">
        <v>75</v>
      </c>
      <c r="F28" s="97" t="s">
        <v>97</v>
      </c>
      <c r="G28" s="218" t="s">
        <v>98</v>
      </c>
      <c r="Q28" s="5"/>
    </row>
    <row r="29" spans="1:34" ht="28.5" customHeight="1" x14ac:dyDescent="0.35">
      <c r="B29" s="52" t="s">
        <v>57</v>
      </c>
      <c r="C29" s="34" t="s">
        <v>58</v>
      </c>
      <c r="D29" s="189"/>
      <c r="E29" s="225">
        <v>0</v>
      </c>
      <c r="F29" s="188">
        <f>'Master List of Items'!E46</f>
        <v>22000</v>
      </c>
      <c r="G29" s="27">
        <f t="shared" ref="G29:G36" si="2">F29*E29</f>
        <v>0</v>
      </c>
      <c r="I29" s="36" t="s">
        <v>129</v>
      </c>
    </row>
    <row r="30" spans="1:34" ht="16" customHeight="1" x14ac:dyDescent="0.35">
      <c r="B30" s="52" t="s">
        <v>59</v>
      </c>
      <c r="C30" s="25" t="s">
        <v>28</v>
      </c>
      <c r="D30" s="189"/>
      <c r="E30" s="225">
        <v>0</v>
      </c>
      <c r="F30" s="188">
        <f>'Master List of Items'!E47</f>
        <v>30000</v>
      </c>
      <c r="G30" s="27">
        <f t="shared" si="2"/>
        <v>0</v>
      </c>
      <c r="I30" s="5" t="s">
        <v>128</v>
      </c>
    </row>
    <row r="31" spans="1:34" ht="16" customHeight="1" x14ac:dyDescent="0.35">
      <c r="B31" s="52" t="s">
        <v>60</v>
      </c>
      <c r="C31" s="25" t="s">
        <v>28</v>
      </c>
      <c r="D31" s="189"/>
      <c r="E31" s="195">
        <v>0</v>
      </c>
      <c r="F31" s="188">
        <f>'Master List of Items'!E48</f>
        <v>13000</v>
      </c>
      <c r="G31" s="27">
        <f t="shared" si="2"/>
        <v>0</v>
      </c>
      <c r="I31" s="5" t="s">
        <v>128</v>
      </c>
    </row>
    <row r="32" spans="1:34" ht="16" customHeight="1" x14ac:dyDescent="0.35">
      <c r="B32" s="52" t="s">
        <v>61</v>
      </c>
      <c r="C32" s="25" t="s">
        <v>28</v>
      </c>
      <c r="D32" s="189"/>
      <c r="E32" s="196">
        <v>0</v>
      </c>
      <c r="F32" s="188">
        <f>'Master List of Items'!E49</f>
        <v>100000</v>
      </c>
      <c r="G32" s="27">
        <f t="shared" si="2"/>
        <v>0</v>
      </c>
      <c r="I32" s="5" t="s">
        <v>128</v>
      </c>
    </row>
    <row r="33" spans="1:34" ht="87" x14ac:dyDescent="0.35">
      <c r="B33" s="52" t="s">
        <v>62</v>
      </c>
      <c r="C33" s="34" t="s">
        <v>58</v>
      </c>
      <c r="D33" s="189"/>
      <c r="E33" s="195">
        <v>0</v>
      </c>
      <c r="F33" s="195">
        <v>0</v>
      </c>
      <c r="G33" s="27">
        <f t="shared" si="2"/>
        <v>0</v>
      </c>
      <c r="I33" s="5" t="s">
        <v>262</v>
      </c>
    </row>
    <row r="34" spans="1:34" ht="16" customHeight="1" x14ac:dyDescent="0.35">
      <c r="B34" s="52" t="s">
        <v>177</v>
      </c>
      <c r="C34" s="25" t="s">
        <v>28</v>
      </c>
      <c r="D34" s="189"/>
      <c r="E34" s="195">
        <v>0</v>
      </c>
      <c r="F34" s="188">
        <f>'Master List of Items'!E51</f>
        <v>7000</v>
      </c>
      <c r="G34" s="27">
        <f>F34*E34</f>
        <v>0</v>
      </c>
      <c r="H34" s="131"/>
      <c r="I34" s="5" t="s">
        <v>128</v>
      </c>
      <c r="K34"/>
    </row>
    <row r="35" spans="1:34" ht="16" customHeight="1" x14ac:dyDescent="0.35">
      <c r="B35" s="52" t="s">
        <v>63</v>
      </c>
      <c r="C35" s="25" t="s">
        <v>28</v>
      </c>
      <c r="D35" s="189"/>
      <c r="E35" s="225">
        <v>0</v>
      </c>
      <c r="F35" s="188">
        <f>'Master List of Items'!E52</f>
        <v>5000</v>
      </c>
      <c r="G35" s="27">
        <f>F35*E35</f>
        <v>0</v>
      </c>
      <c r="I35" s="5" t="s">
        <v>128</v>
      </c>
    </row>
    <row r="36" spans="1:34" ht="16" customHeight="1" x14ac:dyDescent="0.35">
      <c r="B36" s="52" t="s">
        <v>65</v>
      </c>
      <c r="C36" s="25" t="s">
        <v>28</v>
      </c>
      <c r="D36" s="189"/>
      <c r="E36" s="196">
        <v>0</v>
      </c>
      <c r="F36" s="188">
        <f>'Master List of Items'!E54</f>
        <v>1000</v>
      </c>
      <c r="G36" s="27">
        <f t="shared" si="2"/>
        <v>0</v>
      </c>
      <c r="I36" s="5" t="s">
        <v>128</v>
      </c>
    </row>
    <row r="37" spans="1:34" ht="43.5" x14ac:dyDescent="0.35">
      <c r="B37" s="194" t="s">
        <v>248</v>
      </c>
      <c r="C37" s="34" t="s">
        <v>31</v>
      </c>
      <c r="D37" s="189"/>
      <c r="E37" s="196">
        <v>0</v>
      </c>
      <c r="F37" s="26">
        <f>'Master List of Items'!E55</f>
        <v>250</v>
      </c>
      <c r="G37" s="27">
        <f>E37*F37+3300</f>
        <v>3300</v>
      </c>
      <c r="I37" s="5" t="s">
        <v>252</v>
      </c>
    </row>
    <row r="38" spans="1:34" ht="43.5" x14ac:dyDescent="0.35">
      <c r="B38" s="194" t="s">
        <v>249</v>
      </c>
      <c r="C38" s="222" t="s">
        <v>28</v>
      </c>
      <c r="D38" s="189"/>
      <c r="E38" s="196">
        <v>0</v>
      </c>
      <c r="F38" s="26">
        <f>'Master List of Items'!E56</f>
        <v>37000</v>
      </c>
      <c r="G38" s="27">
        <f t="shared" ref="G38" si="3">E38*F38</f>
        <v>0</v>
      </c>
      <c r="I38" s="5" t="s">
        <v>267</v>
      </c>
    </row>
    <row r="39" spans="1:34" s="4" customFormat="1" ht="29" customHeight="1" x14ac:dyDescent="0.35">
      <c r="A39" s="2"/>
      <c r="B39" s="82" t="s">
        <v>83</v>
      </c>
      <c r="C39" s="87"/>
      <c r="D39" s="87"/>
      <c r="E39" s="88"/>
      <c r="F39" s="90"/>
      <c r="G39" s="83">
        <f>SUM(G10:G14)+SUM(G16:G19)+SUM(G25:G26)+SUM(G29:G38)</f>
        <v>3300</v>
      </c>
      <c r="I39" s="36"/>
      <c r="J39" s="5"/>
      <c r="K39" s="5"/>
      <c r="L39" s="5"/>
      <c r="M39" s="5"/>
      <c r="N39" s="5"/>
      <c r="O39" s="5"/>
      <c r="P39" s="5"/>
      <c r="Q39" s="3"/>
      <c r="R39" s="5"/>
      <c r="S39" s="3"/>
      <c r="T39" s="5"/>
      <c r="U39" s="5"/>
      <c r="V39" s="5"/>
      <c r="W39" s="5"/>
      <c r="X39" s="5"/>
      <c r="Y39" s="5"/>
      <c r="Z39" s="5"/>
      <c r="AA39" s="5"/>
      <c r="AB39" s="5"/>
      <c r="AC39" s="6"/>
      <c r="AD39" s="1"/>
      <c r="AE39"/>
      <c r="AF39"/>
      <c r="AG39"/>
      <c r="AH39"/>
    </row>
    <row r="40" spans="1:34" s="4" customFormat="1" ht="16" customHeight="1" x14ac:dyDescent="0.35">
      <c r="A40" s="2"/>
      <c r="B40" s="28" t="s">
        <v>23</v>
      </c>
      <c r="C40" s="53" t="s">
        <v>101</v>
      </c>
      <c r="E40" s="15"/>
      <c r="F40" s="137">
        <v>0.65</v>
      </c>
      <c r="G40" s="29">
        <f>F40*G39</f>
        <v>2145</v>
      </c>
      <c r="I40" s="323" t="s">
        <v>199</v>
      </c>
      <c r="J40" s="323"/>
      <c r="K40" s="323"/>
      <c r="L40" s="323"/>
      <c r="M40" s="323"/>
      <c r="N40" s="146"/>
      <c r="O40" s="146"/>
      <c r="P40" s="5"/>
      <c r="Q40" s="3"/>
      <c r="R40" s="5"/>
      <c r="S40" s="3"/>
      <c r="T40" s="5"/>
      <c r="U40" s="5"/>
      <c r="V40" s="5"/>
      <c r="W40" s="5"/>
      <c r="X40" s="5"/>
      <c r="Y40" s="5"/>
      <c r="Z40" s="5"/>
      <c r="AA40" s="5"/>
      <c r="AB40" s="5"/>
      <c r="AC40" s="6"/>
      <c r="AD40" s="1"/>
      <c r="AE40"/>
      <c r="AF40"/>
      <c r="AG40"/>
      <c r="AH40"/>
    </row>
    <row r="41" spans="1:34" s="4" customFormat="1" ht="29" customHeight="1" x14ac:dyDescent="0.35">
      <c r="A41" s="2"/>
      <c r="B41" s="82" t="s">
        <v>82</v>
      </c>
      <c r="C41" s="102" t="s">
        <v>26</v>
      </c>
      <c r="D41" s="102"/>
      <c r="E41" s="102"/>
      <c r="F41" s="91"/>
      <c r="G41" s="83">
        <f>G39+G40</f>
        <v>5445</v>
      </c>
      <c r="I41" s="141"/>
      <c r="J41" s="5"/>
      <c r="K41" s="5"/>
      <c r="L41" s="5"/>
      <c r="M41" s="5"/>
      <c r="N41" s="5"/>
      <c r="O41" s="5"/>
      <c r="P41" s="5"/>
      <c r="Q41" s="3"/>
      <c r="R41" s="5"/>
      <c r="S41" s="3"/>
      <c r="T41" s="5"/>
      <c r="U41" s="5"/>
      <c r="V41" s="5"/>
      <c r="W41" s="5"/>
      <c r="X41" s="5"/>
      <c r="Y41" s="5"/>
      <c r="Z41" s="5"/>
      <c r="AA41" s="5"/>
      <c r="AB41" s="5"/>
      <c r="AC41" s="6"/>
      <c r="AD41" s="1"/>
      <c r="AE41"/>
      <c r="AF41"/>
      <c r="AG41"/>
      <c r="AH41"/>
    </row>
    <row r="42" spans="1:34" s="4" customFormat="1" ht="16" customHeight="1" x14ac:dyDescent="0.35">
      <c r="A42" s="2"/>
      <c r="B42" s="28" t="s">
        <v>84</v>
      </c>
      <c r="C42" s="53" t="s">
        <v>102</v>
      </c>
      <c r="D42" s="129"/>
      <c r="E42" s="129"/>
      <c r="F42" s="203">
        <v>0.4</v>
      </c>
      <c r="G42" s="29">
        <f>F42*G41</f>
        <v>2178</v>
      </c>
      <c r="I42" s="204" t="s">
        <v>179</v>
      </c>
      <c r="J42" s="5"/>
      <c r="K42" s="5"/>
      <c r="L42" s="5"/>
      <c r="M42" s="5"/>
      <c r="N42" s="5"/>
      <c r="O42" s="5"/>
      <c r="P42" s="5"/>
      <c r="Q42" s="3"/>
      <c r="R42" s="5"/>
      <c r="S42" s="3"/>
      <c r="T42" s="5"/>
      <c r="U42" s="5"/>
      <c r="V42" s="5"/>
      <c r="W42" s="5"/>
      <c r="X42" s="5"/>
      <c r="Y42" s="5"/>
      <c r="Z42" s="5"/>
      <c r="AA42" s="5"/>
      <c r="AB42" s="5"/>
      <c r="AC42" s="6"/>
      <c r="AD42" s="1"/>
      <c r="AE42"/>
      <c r="AF42"/>
      <c r="AG42"/>
      <c r="AH42"/>
    </row>
    <row r="43" spans="1:34" s="4" customFormat="1" ht="29" customHeight="1" x14ac:dyDescent="0.35">
      <c r="A43" s="2"/>
      <c r="B43" s="82" t="s">
        <v>103</v>
      </c>
      <c r="C43" s="102" t="s">
        <v>26</v>
      </c>
      <c r="D43" s="102"/>
      <c r="E43" s="102"/>
      <c r="F43" s="91"/>
      <c r="G43" s="83">
        <f>G41+G42</f>
        <v>7623</v>
      </c>
      <c r="I43" s="132" t="s">
        <v>26</v>
      </c>
      <c r="J43" s="5"/>
      <c r="K43" s="5"/>
      <c r="L43" s="5"/>
      <c r="M43" s="5"/>
      <c r="N43" s="5"/>
      <c r="O43" s="5"/>
      <c r="P43" s="5"/>
      <c r="Q43" s="3"/>
      <c r="R43" s="5"/>
      <c r="S43" s="3"/>
      <c r="T43" s="5"/>
      <c r="U43" s="5"/>
      <c r="V43" s="5"/>
      <c r="W43" s="5"/>
      <c r="X43" s="5"/>
      <c r="Y43" s="5"/>
      <c r="Z43" s="5"/>
      <c r="AA43" s="5"/>
      <c r="AB43" s="5"/>
      <c r="AC43" s="6"/>
      <c r="AD43" s="1"/>
      <c r="AE43"/>
      <c r="AF43"/>
      <c r="AG43"/>
      <c r="AH43"/>
    </row>
    <row r="44" spans="1:34" s="5" customFormat="1" ht="16" customHeight="1" thickBot="1" x14ac:dyDescent="0.4">
      <c r="A44" s="2"/>
      <c r="B44" s="197" t="s">
        <v>24</v>
      </c>
      <c r="C44" s="198" t="s">
        <v>104</v>
      </c>
      <c r="D44" s="199"/>
      <c r="E44" s="200"/>
      <c r="F44" s="201">
        <v>0.2</v>
      </c>
      <c r="G44" s="202">
        <f>F44*G43</f>
        <v>1524.6000000000001</v>
      </c>
      <c r="H44" s="4"/>
      <c r="I44" s="36" t="s">
        <v>188</v>
      </c>
      <c r="Q44" s="3"/>
      <c r="S44" s="3"/>
      <c r="AC44" s="6"/>
      <c r="AD44" s="1"/>
      <c r="AE44"/>
      <c r="AF44"/>
      <c r="AG44"/>
      <c r="AH44"/>
    </row>
    <row r="45" spans="1:34" s="5" customFormat="1" ht="29" customHeight="1" thickBot="1" x14ac:dyDescent="0.4">
      <c r="A45" s="2"/>
      <c r="B45" s="274" t="s">
        <v>105</v>
      </c>
      <c r="C45" s="275"/>
      <c r="D45" s="275"/>
      <c r="E45" s="120"/>
      <c r="F45" s="121" t="s">
        <v>26</v>
      </c>
      <c r="G45" s="122">
        <f>ROUND(SUM(G43:G44), -2)</f>
        <v>9100</v>
      </c>
      <c r="H45" s="4"/>
      <c r="Q45" s="3"/>
      <c r="S45" s="3"/>
      <c r="AC45" s="6"/>
      <c r="AD45" s="1"/>
      <c r="AE45"/>
      <c r="AF45"/>
      <c r="AG45"/>
      <c r="AH45"/>
    </row>
    <row r="46" spans="1:34" s="5" customFormat="1" x14ac:dyDescent="0.35">
      <c r="A46" s="2"/>
      <c r="B46" s="1"/>
      <c r="C46" s="4"/>
      <c r="D46" s="4"/>
      <c r="E46" s="3"/>
      <c r="F46" s="3"/>
      <c r="G46" s="3"/>
      <c r="H46" s="4"/>
      <c r="I46" s="36"/>
      <c r="Q46" s="3"/>
      <c r="S46" s="3"/>
      <c r="AC46" s="6"/>
      <c r="AD46" s="1"/>
      <c r="AE46"/>
      <c r="AF46"/>
      <c r="AG46"/>
      <c r="AH46"/>
    </row>
    <row r="47" spans="1:34" s="5" customFormat="1" x14ac:dyDescent="0.35">
      <c r="A47" s="2"/>
      <c r="B47" s="1"/>
      <c r="C47" s="4"/>
      <c r="D47" s="4"/>
      <c r="E47" s="3"/>
      <c r="F47" s="3"/>
      <c r="G47" s="3"/>
      <c r="H47" s="4"/>
      <c r="Q47" s="3"/>
      <c r="S47" s="3"/>
      <c r="AC47" s="6"/>
      <c r="AD47" s="1"/>
      <c r="AE47"/>
      <c r="AF47"/>
      <c r="AG47"/>
      <c r="AH47"/>
    </row>
  </sheetData>
  <sheetProtection algorithmName="SHA-512" hashValue="TTTyAU52ydatxXNLeU4yRQgTIBQJXhtTw4yB/7Sk1G/05yEzvE4PYDagwjBiACNieVTGV+CYtD7Ed9rbcw3ijg==" saltValue="f7BT8jSOzU1/F3207mxHQg==" spinCount="100000" sheet="1" objects="1" scenarios="1"/>
  <mergeCells count="7">
    <mergeCell ref="I4:M4"/>
    <mergeCell ref="B2:G2"/>
    <mergeCell ref="B3:G3"/>
    <mergeCell ref="I40:M40"/>
    <mergeCell ref="I27:L27"/>
    <mergeCell ref="I26:L26"/>
    <mergeCell ref="I25:L25"/>
  </mergeCells>
  <dataValidations xWindow="745" yWindow="738" count="5">
    <dataValidation allowBlank="1" showInputMessage="1" showErrorMessage="1" promptTitle="Green pavement marking" prompt="Green pavement marking is used to highlight conflict zones through intersections.  For this quantity, green pavement is calculated for each intersection and 10' to both sides of the intersection._x000a_" sqref="E14" xr:uid="{0DAEB175-A068-489E-95FA-5F011908A835}"/>
    <dataValidation allowBlank="1" showInputMessage="1" showErrorMessage="1" promptTitle="Bikes May Use Full Lane" prompt="Enter additional quanities for this type of sign, if desired or required." sqref="E19" xr:uid="{7650C24D-3CA0-4EF7-88AC-E6A4C49F459C}"/>
    <dataValidation allowBlank="1" showInputMessage="1" showErrorMessage="1" promptTitle="Bike Lane Ends" prompt="Enter additional quanities for this type of sign, if desired or required." sqref="E17" xr:uid="{A0E59C46-D5F5-4278-AEAA-A8DB70219D24}"/>
    <dataValidation allowBlank="1" showInputMessage="1" showErrorMessage="1" promptTitle="Bike Lane Ahead" prompt="Enter additional quanities for this type of sign, if desired or required." sqref="E16" xr:uid="{F80BA372-2E18-4FA2-B3AB-B1ED7712F141}"/>
    <dataValidation allowBlank="1" showInputMessage="1" showErrorMessage="1" promptTitle="Traffic Calming Features" prompt="Traffic calming features improve bicycling conditions along bicycle boulevards corridor.  A combination of traffic calming features can be used to determine project costs._x000a_" sqref="B28" xr:uid="{C9B36081-8239-48E9-9E18-3671D8D3EFCD}"/>
  </dataValidations>
  <pageMargins left="0.25" right="0.25" top="0.75" bottom="0.75" header="0.3" footer="0.3"/>
  <pageSetup paperSize="3" scale="29" fitToHeight="0" orientation="landscape" r:id="rId1"/>
  <ignoredErrors>
    <ignoredError sqref="E11 E18"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2720-50F2-4726-A0A1-D733337AE3C3}">
  <sheetPr codeName="Sheet1">
    <tabColor theme="5" tint="-0.249977111117893"/>
    <pageSetUpPr fitToPage="1"/>
  </sheetPr>
  <dimension ref="A1:Q26"/>
  <sheetViews>
    <sheetView tabSelected="1" zoomScaleNormal="100" zoomScaleSheetLayoutView="95" workbookViewId="0">
      <selection activeCell="E2" sqref="E2"/>
    </sheetView>
  </sheetViews>
  <sheetFormatPr defaultRowHeight="14.5" x14ac:dyDescent="0.35"/>
  <cols>
    <col min="1" max="1" width="98.08984375" style="2" customWidth="1"/>
    <col min="2" max="3" width="12.6328125" style="5" customWidth="1"/>
    <col min="4" max="4" width="14.36328125" style="3" bestFit="1" customWidth="1"/>
    <col min="5" max="5" width="12.6328125" style="5" customWidth="1"/>
    <col min="6" max="6" width="10.6328125" style="3" customWidth="1"/>
    <col min="7" max="10" width="12.6328125" style="5" customWidth="1"/>
    <col min="11" max="11" width="14.36328125" style="5" customWidth="1"/>
    <col min="12" max="13" width="12.6328125" style="5" customWidth="1"/>
    <col min="14" max="14" width="15.36328125" style="5" customWidth="1"/>
    <col min="15" max="15" width="12.6328125" style="5" customWidth="1"/>
    <col min="16" max="16" width="12.6328125" style="6" customWidth="1"/>
    <col min="17" max="17" width="23" style="1" customWidth="1"/>
    <col min="19" max="19" width="9.6328125" bestFit="1" customWidth="1"/>
    <col min="20" max="20" width="11.6328125" bestFit="1" customWidth="1"/>
  </cols>
  <sheetData>
    <row r="1" spans="1:17" ht="40.15" customHeight="1" x14ac:dyDescent="0.35">
      <c r="A1" s="229" t="s">
        <v>333</v>
      </c>
      <c r="B1" s="43"/>
      <c r="C1" s="43"/>
      <c r="E1" s="3"/>
      <c r="F1" s="43"/>
      <c r="G1" s="43"/>
      <c r="H1" s="43"/>
      <c r="I1" s="43"/>
      <c r="J1" s="43"/>
      <c r="K1" s="43"/>
      <c r="L1" s="43"/>
      <c r="M1" s="43"/>
      <c r="N1" s="43"/>
      <c r="O1" s="43"/>
      <c r="P1" s="43"/>
      <c r="Q1" s="43"/>
    </row>
    <row r="2" spans="1:17" ht="116" x14ac:dyDescent="0.35">
      <c r="A2" s="74" t="s">
        <v>343</v>
      </c>
      <c r="B2" s="1"/>
      <c r="C2" s="1"/>
      <c r="E2" s="3"/>
      <c r="F2" s="1"/>
      <c r="G2" s="1"/>
      <c r="H2" s="1"/>
      <c r="I2" s="1"/>
      <c r="J2" s="1"/>
      <c r="K2" s="1"/>
      <c r="L2" s="1"/>
      <c r="M2" s="1"/>
      <c r="N2" s="1"/>
      <c r="O2" s="1"/>
      <c r="P2" s="1"/>
    </row>
    <row r="3" spans="1:17" s="50" customFormat="1" ht="72.5" x14ac:dyDescent="0.35">
      <c r="A3" s="74" t="s">
        <v>346</v>
      </c>
      <c r="B3" s="49"/>
      <c r="C3" s="49"/>
      <c r="D3" s="49"/>
      <c r="E3" s="59"/>
      <c r="F3" s="49"/>
      <c r="G3" s="49"/>
      <c r="H3" s="49"/>
      <c r="I3" s="49"/>
      <c r="J3" s="49"/>
      <c r="K3" s="49"/>
      <c r="L3" s="49"/>
      <c r="M3" s="49"/>
      <c r="N3" s="49"/>
      <c r="O3" s="49"/>
      <c r="P3" s="49"/>
      <c r="Q3" s="49"/>
    </row>
    <row r="4" spans="1:17" s="50" customFormat="1" ht="46.25" customHeight="1" x14ac:dyDescent="0.35">
      <c r="A4" s="115" t="s">
        <v>218</v>
      </c>
      <c r="B4" s="49"/>
      <c r="C4" s="49"/>
      <c r="D4" s="49"/>
      <c r="E4" s="49"/>
      <c r="F4" s="49"/>
      <c r="G4" s="49"/>
      <c r="H4" s="49"/>
      <c r="I4" s="49"/>
      <c r="J4" s="49"/>
      <c r="K4" s="49"/>
      <c r="L4" s="49"/>
      <c r="M4" s="49"/>
      <c r="N4" s="49"/>
      <c r="O4" s="49"/>
      <c r="P4" s="49"/>
      <c r="Q4" s="49"/>
    </row>
    <row r="5" spans="1:17" ht="47.9" customHeight="1" x14ac:dyDescent="0.35">
      <c r="A5" s="74" t="s">
        <v>219</v>
      </c>
      <c r="B5" s="1"/>
      <c r="C5" s="1"/>
      <c r="D5" s="1"/>
      <c r="F5" s="1"/>
      <c r="G5" s="1"/>
      <c r="H5" s="1"/>
      <c r="I5" s="1"/>
      <c r="J5" s="1"/>
      <c r="K5" s="1"/>
      <c r="L5" s="1"/>
      <c r="M5" s="1"/>
      <c r="N5" s="1"/>
      <c r="O5" s="1"/>
      <c r="P5" s="1"/>
    </row>
    <row r="6" spans="1:17" ht="102" thickBot="1" x14ac:dyDescent="0.4">
      <c r="A6" s="75" t="s">
        <v>220</v>
      </c>
      <c r="B6" s="1"/>
      <c r="C6" s="1"/>
      <c r="D6" s="1"/>
      <c r="F6" s="1"/>
      <c r="G6" s="1"/>
      <c r="H6" s="1"/>
      <c r="I6" s="1"/>
      <c r="J6" s="1"/>
      <c r="K6" s="1"/>
      <c r="L6" s="1"/>
      <c r="M6" s="1"/>
      <c r="N6" s="1"/>
      <c r="O6" s="1"/>
      <c r="P6" s="1"/>
    </row>
    <row r="7" spans="1:17" ht="21.75" customHeight="1" thickBot="1" x14ac:dyDescent="0.4">
      <c r="A7" s="19"/>
      <c r="B7" s="19"/>
      <c r="C7" s="19"/>
      <c r="D7" s="19"/>
      <c r="E7" s="19"/>
      <c r="F7" s="19"/>
      <c r="G7" s="19"/>
      <c r="H7" s="19"/>
      <c r="I7" s="19"/>
      <c r="J7" s="19"/>
      <c r="K7" s="19"/>
      <c r="L7" s="19"/>
      <c r="M7" s="19"/>
      <c r="N7" s="19"/>
      <c r="O7" s="19"/>
      <c r="P7" s="19"/>
      <c r="Q7" s="19"/>
    </row>
    <row r="8" spans="1:17" s="11" customFormat="1" ht="39.25" customHeight="1" x14ac:dyDescent="0.35">
      <c r="A8" s="76" t="s">
        <v>0</v>
      </c>
      <c r="B8" s="47"/>
      <c r="C8" s="47"/>
      <c r="D8" s="47"/>
      <c r="E8" s="47"/>
      <c r="F8" s="47"/>
      <c r="G8" s="47"/>
      <c r="H8" s="47"/>
      <c r="I8" s="47"/>
      <c r="J8" s="47"/>
      <c r="K8" s="47"/>
      <c r="L8" s="47"/>
      <c r="M8" s="47"/>
      <c r="N8" s="47"/>
      <c r="O8" s="47"/>
      <c r="P8" s="47"/>
      <c r="Q8" s="47"/>
    </row>
    <row r="9" spans="1:17" s="11" customFormat="1" ht="57.15" customHeight="1" x14ac:dyDescent="0.35">
      <c r="A9" s="77" t="s">
        <v>221</v>
      </c>
      <c r="B9" s="45"/>
      <c r="C9" s="45"/>
      <c r="D9" s="45"/>
      <c r="E9" s="45"/>
      <c r="F9" s="45"/>
      <c r="G9" s="45"/>
      <c r="H9" s="45"/>
      <c r="I9" s="45"/>
      <c r="J9" s="45"/>
      <c r="K9" s="45"/>
      <c r="L9" s="45"/>
      <c r="M9" s="45"/>
      <c r="N9" s="45"/>
      <c r="O9" s="45"/>
      <c r="P9" s="45"/>
      <c r="Q9" s="45"/>
    </row>
    <row r="10" spans="1:17" ht="44.15" customHeight="1" x14ac:dyDescent="0.35">
      <c r="A10" s="77" t="s">
        <v>222</v>
      </c>
      <c r="B10" s="16"/>
      <c r="C10" s="16"/>
      <c r="D10" s="16"/>
      <c r="E10" s="16"/>
      <c r="F10" s="16"/>
      <c r="G10" s="16"/>
      <c r="H10" s="16"/>
      <c r="I10" s="16"/>
      <c r="J10" s="16"/>
      <c r="K10" s="16"/>
      <c r="L10" s="16"/>
      <c r="M10" s="16"/>
      <c r="N10" s="16"/>
      <c r="O10" s="16"/>
      <c r="P10" s="16"/>
      <c r="Q10" s="16"/>
    </row>
    <row r="11" spans="1:17" ht="51" customHeight="1" thickBot="1" x14ac:dyDescent="0.4">
      <c r="A11" s="78" t="s">
        <v>345</v>
      </c>
      <c r="B11" s="46"/>
      <c r="C11" s="46"/>
      <c r="D11" s="46"/>
      <c r="E11" s="46"/>
      <c r="F11" s="46"/>
      <c r="G11" s="46"/>
      <c r="H11" s="46"/>
      <c r="I11" s="46"/>
      <c r="J11" s="46"/>
      <c r="K11" s="46"/>
      <c r="L11" s="46"/>
      <c r="M11" s="46"/>
      <c r="N11" s="46"/>
      <c r="O11" s="46"/>
      <c r="P11" s="46"/>
      <c r="Q11" s="46"/>
    </row>
    <row r="13" spans="1:17" ht="38.9" customHeight="1" x14ac:dyDescent="0.35">
      <c r="A13" s="79"/>
    </row>
    <row r="14" spans="1:17" ht="24.75" customHeight="1" x14ac:dyDescent="0.35">
      <c r="A14" s="73"/>
    </row>
    <row r="15" spans="1:17" x14ac:dyDescent="0.35">
      <c r="A15" s="10"/>
    </row>
    <row r="16" spans="1:17" x14ac:dyDescent="0.35">
      <c r="A16" s="10"/>
    </row>
    <row r="17" spans="1:17" x14ac:dyDescent="0.35">
      <c r="A17" s="10"/>
    </row>
    <row r="18" spans="1:17" x14ac:dyDescent="0.35">
      <c r="A18" s="10"/>
    </row>
    <row r="19" spans="1:17" x14ac:dyDescent="0.35">
      <c r="A19" s="10"/>
    </row>
    <row r="20" spans="1:17" s="5" customFormat="1" x14ac:dyDescent="0.35">
      <c r="A20" s="10"/>
      <c r="D20" s="3"/>
      <c r="F20" s="3"/>
      <c r="P20" s="6"/>
      <c r="Q20" s="1"/>
    </row>
    <row r="21" spans="1:17" s="5" customFormat="1" x14ac:dyDescent="0.35">
      <c r="A21" s="10"/>
      <c r="D21" s="3"/>
      <c r="F21" s="3"/>
      <c r="P21" s="6"/>
      <c r="Q21" s="1"/>
    </row>
    <row r="22" spans="1:17" s="5" customFormat="1" x14ac:dyDescent="0.35">
      <c r="A22" s="10"/>
      <c r="D22" s="3"/>
      <c r="F22" s="3"/>
      <c r="P22" s="6"/>
      <c r="Q22" s="1"/>
    </row>
    <row r="23" spans="1:17" s="5" customFormat="1" x14ac:dyDescent="0.35">
      <c r="A23" s="10"/>
      <c r="D23" s="3"/>
      <c r="F23" s="3"/>
      <c r="P23" s="6"/>
      <c r="Q23" s="1"/>
    </row>
    <row r="24" spans="1:17" s="5" customFormat="1" x14ac:dyDescent="0.35">
      <c r="A24" s="10"/>
      <c r="D24" s="3"/>
      <c r="F24" s="3"/>
      <c r="P24" s="6"/>
      <c r="Q24" s="1"/>
    </row>
    <row r="25" spans="1:17" s="5" customFormat="1" x14ac:dyDescent="0.35">
      <c r="A25" s="10"/>
      <c r="D25" s="3"/>
      <c r="F25" s="3"/>
      <c r="P25" s="6"/>
      <c r="Q25" s="1"/>
    </row>
    <row r="26" spans="1:17" x14ac:dyDescent="0.35">
      <c r="A26" s="10"/>
    </row>
  </sheetData>
  <sheetProtection algorithmName="SHA-512" hashValue="4kwm4SvpAWlZreBAY7wgg1E9n/hIlFqUCvQ5cmlQk25qepwchPBZpOwPkX9yPT/WDyhgeQ+gotUQSzZKbRoa9Q==" saltValue="ViDwE50EIUNy+WxSXaIY6A==" spinCount="100000" sheet="1" objects="1" scenarios="1"/>
  <pageMargins left="0.25" right="0.25" top="0.75" bottom="0.75" header="0.3" footer="0.3"/>
  <pageSetup fitToHeight="0" orientation="portrait" r:id="rId1"/>
  <headerFooter>
    <oddHeader>&amp;LMDOT Bikeways Project Cost Estimator&amp;RIntroduction</oddHeader>
    <oddFooter>Page &amp;P of &amp;N</oddFooter>
  </headerFooter>
  <rowBreaks count="1" manualBreakCount="1">
    <brk id="7"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88D9-0E33-46B5-BA28-5CE935775254}">
  <sheetPr codeName="Sheet2">
    <tabColor theme="5" tint="-0.249977111117893"/>
    <pageSetUpPr fitToPage="1"/>
  </sheetPr>
  <dimension ref="A1:S25"/>
  <sheetViews>
    <sheetView zoomScaleNormal="100" zoomScaleSheetLayoutView="100" workbookViewId="0">
      <selection activeCell="D6" sqref="D6"/>
    </sheetView>
  </sheetViews>
  <sheetFormatPr defaultRowHeight="14.5" x14ac:dyDescent="0.35"/>
  <cols>
    <col min="1" max="1" width="22.6328125" style="2" customWidth="1"/>
    <col min="2" max="2" width="26" style="1" customWidth="1"/>
    <col min="3" max="3" width="73.6328125" style="1" customWidth="1"/>
    <col min="4" max="5" width="12.6328125" style="5" customWidth="1"/>
    <col min="6" max="6" width="14.36328125" style="3" bestFit="1" customWidth="1"/>
    <col min="7" max="7" width="12.6328125" style="5" customWidth="1"/>
    <col min="8" max="8" width="10.6328125" style="3" customWidth="1"/>
    <col min="9" max="12" width="12.6328125" style="5" customWidth="1"/>
    <col min="13" max="13" width="14.36328125" style="5" customWidth="1"/>
    <col min="14" max="15" width="12.6328125" style="5" customWidth="1"/>
    <col min="16" max="16" width="15.36328125" style="5" customWidth="1"/>
    <col min="17" max="17" width="12.6328125" style="5" customWidth="1"/>
    <col min="18" max="18" width="12.6328125" style="6" customWidth="1"/>
    <col min="19" max="19" width="23" style="1" customWidth="1"/>
    <col min="21" max="21" width="9.6328125" bestFit="1" customWidth="1"/>
    <col min="22" max="22" width="11.6328125" bestFit="1" customWidth="1"/>
  </cols>
  <sheetData>
    <row r="1" spans="1:19" ht="48.15" customHeight="1" thickBot="1" x14ac:dyDescent="0.4">
      <c r="A1" s="290" t="s">
        <v>335</v>
      </c>
      <c r="B1" s="291"/>
      <c r="C1" s="292"/>
    </row>
    <row r="2" spans="1:19" s="38" customFormat="1" ht="15.75" customHeight="1" thickBot="1" x14ac:dyDescent="0.4">
      <c r="A2" s="70" t="s">
        <v>1</v>
      </c>
      <c r="B2" s="71" t="s">
        <v>337</v>
      </c>
      <c r="C2" s="72" t="s">
        <v>2</v>
      </c>
      <c r="D2" s="44"/>
      <c r="E2" s="44"/>
      <c r="F2" s="44"/>
      <c r="G2" s="44"/>
      <c r="H2" s="44"/>
      <c r="I2" s="44"/>
      <c r="J2" s="44"/>
      <c r="K2" s="44"/>
      <c r="L2" s="44"/>
      <c r="M2" s="44"/>
      <c r="N2" s="44"/>
      <c r="O2" s="44"/>
      <c r="P2" s="44"/>
      <c r="Q2" s="44"/>
      <c r="R2" s="44"/>
      <c r="S2" s="44"/>
    </row>
    <row r="3" spans="1:19" ht="60" customHeight="1" x14ac:dyDescent="0.35">
      <c r="A3" s="64" t="s">
        <v>3</v>
      </c>
      <c r="B3" s="64" t="s">
        <v>3</v>
      </c>
      <c r="C3" s="67" t="s">
        <v>4</v>
      </c>
      <c r="D3" s="1"/>
      <c r="E3" s="1"/>
      <c r="F3" s="1"/>
      <c r="G3" s="1"/>
      <c r="H3" s="1"/>
      <c r="I3" s="1"/>
      <c r="J3" s="1"/>
      <c r="K3" s="1"/>
      <c r="L3" s="1"/>
      <c r="M3" s="1"/>
      <c r="N3" s="1"/>
      <c r="O3" s="1"/>
      <c r="P3" s="1"/>
      <c r="Q3" s="1"/>
      <c r="R3" s="1"/>
    </row>
    <row r="4" spans="1:19" ht="73.5" customHeight="1" x14ac:dyDescent="0.35">
      <c r="A4" s="66" t="s">
        <v>5</v>
      </c>
      <c r="B4" s="65" t="s">
        <v>6</v>
      </c>
      <c r="C4" s="68" t="s">
        <v>167</v>
      </c>
      <c r="D4" s="59"/>
      <c r="E4" s="1"/>
      <c r="F4" s="1"/>
      <c r="G4" s="1"/>
      <c r="H4" s="1"/>
      <c r="I4" s="1"/>
      <c r="J4" s="1"/>
      <c r="K4" s="1"/>
      <c r="L4" s="1"/>
      <c r="M4" s="1"/>
      <c r="N4" s="1"/>
      <c r="O4" s="1"/>
      <c r="P4" s="1"/>
      <c r="Q4" s="1"/>
      <c r="R4" s="1"/>
    </row>
    <row r="5" spans="1:19" ht="76.75" customHeight="1" x14ac:dyDescent="0.35">
      <c r="A5" s="66" t="s">
        <v>5</v>
      </c>
      <c r="B5" s="65" t="s">
        <v>7</v>
      </c>
      <c r="C5" s="68" t="s">
        <v>168</v>
      </c>
      <c r="D5" s="59"/>
      <c r="E5" s="1"/>
      <c r="F5" s="1"/>
      <c r="G5" s="1"/>
      <c r="H5" s="1"/>
      <c r="I5" s="1"/>
      <c r="J5" s="1"/>
      <c r="K5" s="1"/>
      <c r="L5" s="1"/>
      <c r="M5" s="1"/>
      <c r="N5" s="1"/>
      <c r="O5" s="1"/>
      <c r="P5" s="1"/>
      <c r="Q5" s="1"/>
      <c r="R5" s="1"/>
    </row>
    <row r="6" spans="1:19" ht="165.25" customHeight="1" x14ac:dyDescent="0.35">
      <c r="A6" s="66" t="s">
        <v>8</v>
      </c>
      <c r="B6" s="65" t="s">
        <v>9</v>
      </c>
      <c r="C6" s="68" t="s">
        <v>156</v>
      </c>
      <c r="D6" s="1"/>
      <c r="E6" s="1"/>
      <c r="F6" s="1"/>
      <c r="G6" s="1"/>
      <c r="H6" s="1"/>
      <c r="I6" s="1"/>
      <c r="J6" s="1"/>
      <c r="K6" s="1"/>
      <c r="L6" s="1"/>
      <c r="M6" s="1"/>
      <c r="N6" s="1"/>
      <c r="O6" s="1"/>
      <c r="P6" s="1"/>
      <c r="Q6" s="1"/>
      <c r="R6" s="1"/>
    </row>
    <row r="7" spans="1:19" ht="62" customHeight="1" x14ac:dyDescent="0.35">
      <c r="A7" s="66" t="s">
        <v>159</v>
      </c>
      <c r="B7" s="65" t="s">
        <v>10</v>
      </c>
      <c r="C7" s="68" t="s">
        <v>158</v>
      </c>
      <c r="D7" s="1"/>
      <c r="E7" s="1"/>
      <c r="F7" s="1"/>
      <c r="G7" s="1"/>
      <c r="H7" s="1"/>
      <c r="I7" s="1"/>
      <c r="J7" s="1"/>
      <c r="K7" s="1"/>
      <c r="L7" s="1"/>
      <c r="M7" s="1"/>
      <c r="N7" s="1"/>
      <c r="O7" s="1"/>
      <c r="P7" s="1"/>
      <c r="Q7" s="1"/>
      <c r="R7" s="1"/>
    </row>
    <row r="8" spans="1:19" ht="115.5" customHeight="1" x14ac:dyDescent="0.35">
      <c r="A8" s="66" t="s">
        <v>11</v>
      </c>
      <c r="B8" s="65" t="s">
        <v>12</v>
      </c>
      <c r="C8" s="69" t="s">
        <v>215</v>
      </c>
      <c r="D8" s="1"/>
      <c r="E8" s="42"/>
      <c r="F8" s="42"/>
      <c r="G8" s="42"/>
      <c r="H8" s="42"/>
      <c r="I8" s="42"/>
      <c r="J8" s="42"/>
      <c r="K8" s="42"/>
      <c r="L8" s="42"/>
      <c r="M8" s="42"/>
      <c r="N8" s="42"/>
      <c r="O8" s="42"/>
      <c r="P8" s="42"/>
      <c r="Q8" s="42"/>
      <c r="R8" s="42"/>
      <c r="S8" s="42"/>
    </row>
    <row r="9" spans="1:19" ht="43.5" x14ac:dyDescent="0.35">
      <c r="A9" s="66" t="s">
        <v>13</v>
      </c>
      <c r="B9" s="65" t="s">
        <v>14</v>
      </c>
      <c r="C9" s="68" t="s">
        <v>342</v>
      </c>
      <c r="D9" s="1"/>
      <c r="E9" s="1"/>
      <c r="F9" s="1"/>
      <c r="G9" s="1"/>
      <c r="H9" s="1"/>
      <c r="I9" s="1"/>
      <c r="J9" s="1"/>
      <c r="K9" s="1"/>
      <c r="L9" s="1"/>
      <c r="M9" s="1"/>
      <c r="N9" s="1"/>
      <c r="O9" s="1"/>
      <c r="P9" s="1"/>
      <c r="Q9" s="1"/>
      <c r="R9" s="1"/>
    </row>
    <row r="10" spans="1:19" ht="48.9" customHeight="1" thickBot="1" x14ac:dyDescent="0.4">
      <c r="A10" s="184" t="s">
        <v>15</v>
      </c>
      <c r="B10" s="184" t="s">
        <v>171</v>
      </c>
      <c r="C10" s="185" t="s">
        <v>16</v>
      </c>
      <c r="D10" s="19"/>
      <c r="J10" s="19"/>
      <c r="K10" s="19"/>
      <c r="L10" s="19"/>
      <c r="M10" s="19"/>
      <c r="N10" s="19"/>
      <c r="O10" s="19"/>
      <c r="P10" s="19"/>
      <c r="Q10" s="19"/>
      <c r="R10" s="19"/>
      <c r="S10" s="19"/>
    </row>
    <row r="11" spans="1:19" x14ac:dyDescent="0.35">
      <c r="B11" s="10"/>
      <c r="C11" s="10"/>
    </row>
    <row r="12" spans="1:19" x14ac:dyDescent="0.35">
      <c r="A12" s="10"/>
      <c r="B12" s="10"/>
      <c r="C12" s="10"/>
    </row>
    <row r="13" spans="1:19" x14ac:dyDescent="0.35">
      <c r="A13" s="10"/>
      <c r="B13" s="10"/>
      <c r="C13" s="10"/>
    </row>
    <row r="14" spans="1:19" x14ac:dyDescent="0.35">
      <c r="A14" s="10"/>
      <c r="B14" s="10"/>
      <c r="C14" s="10"/>
    </row>
    <row r="15" spans="1:19" x14ac:dyDescent="0.35">
      <c r="A15" s="10"/>
      <c r="B15" s="10"/>
      <c r="C15" s="10"/>
    </row>
    <row r="16" spans="1:19" x14ac:dyDescent="0.35">
      <c r="A16" s="10"/>
      <c r="B16" s="10"/>
      <c r="C16" s="10"/>
    </row>
    <row r="17" spans="1:19" x14ac:dyDescent="0.35">
      <c r="A17" s="10"/>
      <c r="B17" s="10"/>
      <c r="C17" s="10"/>
    </row>
    <row r="18" spans="1:19" x14ac:dyDescent="0.35">
      <c r="A18" s="10"/>
      <c r="B18" s="10"/>
      <c r="C18" s="10"/>
    </row>
    <row r="19" spans="1:19" s="5" customFormat="1" x14ac:dyDescent="0.35">
      <c r="A19" s="10"/>
      <c r="B19" s="10"/>
      <c r="C19" s="10"/>
      <c r="F19" s="3"/>
      <c r="H19" s="3"/>
      <c r="R19" s="6"/>
      <c r="S19" s="1"/>
    </row>
    <row r="20" spans="1:19" s="5" customFormat="1" x14ac:dyDescent="0.35">
      <c r="A20" s="10"/>
      <c r="B20" s="10"/>
      <c r="C20" s="10"/>
      <c r="F20" s="3"/>
      <c r="H20" s="3"/>
      <c r="R20" s="6"/>
      <c r="S20" s="1"/>
    </row>
    <row r="21" spans="1:19" s="5" customFormat="1" x14ac:dyDescent="0.35">
      <c r="A21" s="10"/>
      <c r="B21" s="10"/>
      <c r="C21" s="10"/>
      <c r="F21" s="3"/>
      <c r="H21" s="3"/>
      <c r="R21" s="6"/>
      <c r="S21" s="1"/>
    </row>
    <row r="22" spans="1:19" s="5" customFormat="1" x14ac:dyDescent="0.35">
      <c r="A22" s="10"/>
      <c r="B22" s="10"/>
      <c r="C22" s="10"/>
      <c r="F22" s="3"/>
      <c r="H22" s="3"/>
      <c r="R22" s="6"/>
      <c r="S22" s="1"/>
    </row>
    <row r="23" spans="1:19" s="5" customFormat="1" x14ac:dyDescent="0.35">
      <c r="A23" s="10"/>
      <c r="B23" s="10"/>
      <c r="C23" s="10"/>
      <c r="F23" s="3"/>
      <c r="H23" s="3"/>
      <c r="R23" s="6"/>
      <c r="S23" s="1"/>
    </row>
    <row r="24" spans="1:19" s="5" customFormat="1" x14ac:dyDescent="0.35">
      <c r="A24" s="10"/>
      <c r="B24" s="10"/>
      <c r="C24" s="10"/>
      <c r="F24" s="3"/>
      <c r="H24" s="3"/>
      <c r="R24" s="6"/>
      <c r="S24" s="1"/>
    </row>
    <row r="25" spans="1:19" x14ac:dyDescent="0.35">
      <c r="A25" s="10"/>
      <c r="B25" s="10"/>
      <c r="C25" s="10"/>
    </row>
  </sheetData>
  <sheetProtection algorithmName="SHA-512" hashValue="kUi1npzi6SpKhmCJefucVF1qwmF06QkX6L2n2He0oa/ynDp987vGC9ZOrK4+jTltq+xC8VyniWxv/ndMXKwI6g==" saltValue="3tEt0cCWA3sOw3iXwikN1A==" spinCount="100000" sheet="1" objects="1" scenarios="1"/>
  <mergeCells count="1">
    <mergeCell ref="A1:C1"/>
  </mergeCells>
  <pageMargins left="0.25" right="0.25" top="0.75" bottom="0.75" header="0.3" footer="0.3"/>
  <pageSetup scale="83" orientation="portrait" r:id="rId1"/>
  <headerFooter>
    <oddHeader>&amp;LMDOT Bikeways Project Cost Estimator&amp;RTable of Contents</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3641-FB05-46F5-A97C-2F719EDD8BB3}">
  <sheetPr>
    <tabColor theme="5" tint="0.59999389629810485"/>
    <pageSetUpPr fitToPage="1"/>
  </sheetPr>
  <dimension ref="A1:J76"/>
  <sheetViews>
    <sheetView zoomScale="110" zoomScaleNormal="110" workbookViewId="0">
      <selection activeCell="J13" sqref="J13"/>
    </sheetView>
  </sheetViews>
  <sheetFormatPr defaultRowHeight="15" customHeight="1" x14ac:dyDescent="0.35"/>
  <cols>
    <col min="1" max="1" width="46.36328125" customWidth="1"/>
    <col min="2" max="2" width="16.36328125" customWidth="1"/>
    <col min="3" max="5" width="14.6328125" customWidth="1"/>
    <col min="6" max="6" width="31.453125" customWidth="1"/>
    <col min="7" max="7" width="3.453125" customWidth="1"/>
  </cols>
  <sheetData>
    <row r="1" spans="1:6" ht="29.9" customHeight="1" thickBot="1" x14ac:dyDescent="0.4">
      <c r="A1" s="293" t="s">
        <v>336</v>
      </c>
      <c r="B1" s="294"/>
      <c r="C1" s="294"/>
      <c r="D1" s="294"/>
      <c r="E1" s="294"/>
      <c r="F1" s="295"/>
    </row>
    <row r="2" spans="1:6" ht="16" customHeight="1" x14ac:dyDescent="0.35">
      <c r="A2" s="296" t="s">
        <v>332</v>
      </c>
      <c r="B2" s="297"/>
      <c r="C2" s="297"/>
      <c r="D2" s="297"/>
      <c r="E2" s="297"/>
      <c r="F2" s="298"/>
    </row>
    <row r="3" spans="1:6" ht="16" customHeight="1" x14ac:dyDescent="0.35">
      <c r="A3" s="299"/>
      <c r="B3" s="300"/>
      <c r="C3" s="300"/>
      <c r="D3" s="300"/>
      <c r="E3" s="300"/>
      <c r="F3" s="301"/>
    </row>
    <row r="4" spans="1:6" ht="16" customHeight="1" x14ac:dyDescent="0.35">
      <c r="A4" s="299"/>
      <c r="B4" s="300"/>
      <c r="C4" s="300"/>
      <c r="D4" s="300"/>
      <c r="E4" s="300"/>
      <c r="F4" s="301"/>
    </row>
    <row r="5" spans="1:6" ht="16" customHeight="1" x14ac:dyDescent="0.35">
      <c r="A5" s="299"/>
      <c r="B5" s="300"/>
      <c r="C5" s="300"/>
      <c r="D5" s="300"/>
      <c r="E5" s="300"/>
      <c r="F5" s="301"/>
    </row>
    <row r="6" spans="1:6" ht="16" customHeight="1" thickBot="1" x14ac:dyDescent="0.4">
      <c r="A6" s="302"/>
      <c r="B6" s="303"/>
      <c r="C6" s="303"/>
      <c r="D6" s="303"/>
      <c r="E6" s="303"/>
      <c r="F6" s="304"/>
    </row>
    <row r="7" spans="1:6" ht="9.5" customHeight="1" thickBot="1" x14ac:dyDescent="0.4">
      <c r="A7" s="147"/>
      <c r="B7" s="147"/>
      <c r="C7" s="147"/>
      <c r="D7" s="147"/>
      <c r="E7" s="147"/>
      <c r="F7" s="147"/>
    </row>
    <row r="8" spans="1:6" ht="16.25" customHeight="1" x14ac:dyDescent="0.35">
      <c r="A8" s="157" t="s">
        <v>166</v>
      </c>
      <c r="B8" s="281">
        <v>2026</v>
      </c>
      <c r="C8" s="158"/>
      <c r="D8" s="159" t="s">
        <v>165</v>
      </c>
      <c r="E8" s="160"/>
      <c r="F8" s="161">
        <f>((1+B10)^B11)</f>
        <v>1</v>
      </c>
    </row>
    <row r="9" spans="1:6" ht="16.25" customHeight="1" x14ac:dyDescent="0.35">
      <c r="A9" s="162" t="s">
        <v>161</v>
      </c>
      <c r="B9" s="282">
        <v>2026</v>
      </c>
      <c r="C9" s="147"/>
      <c r="D9" s="147"/>
      <c r="E9" s="147"/>
      <c r="F9" s="163"/>
    </row>
    <row r="10" spans="1:6" ht="16.25" customHeight="1" x14ac:dyDescent="0.35">
      <c r="A10" s="162" t="s">
        <v>162</v>
      </c>
      <c r="B10" s="283">
        <v>3.5000000000000003E-2</v>
      </c>
      <c r="C10" s="147"/>
      <c r="D10" s="147"/>
      <c r="E10" s="147"/>
      <c r="F10" s="163"/>
    </row>
    <row r="11" spans="1:6" ht="16.25" customHeight="1" thickBot="1" x14ac:dyDescent="0.4">
      <c r="A11" s="164" t="s">
        <v>163</v>
      </c>
      <c r="B11" s="165">
        <f>B9-B8</f>
        <v>0</v>
      </c>
      <c r="C11" s="166"/>
      <c r="D11" s="167"/>
      <c r="E11" s="167"/>
      <c r="F11" s="168"/>
    </row>
    <row r="12" spans="1:6" ht="42.75" customHeight="1" thickBot="1" x14ac:dyDescent="0.4">
      <c r="A12" s="148"/>
      <c r="B12" s="148"/>
      <c r="C12" s="14"/>
      <c r="D12" s="14"/>
      <c r="E12" s="14"/>
      <c r="F12" s="148"/>
    </row>
    <row r="13" spans="1:6" ht="26.5" customHeight="1" thickBot="1" x14ac:dyDescent="0.65">
      <c r="A13" s="305" t="s">
        <v>17</v>
      </c>
      <c r="B13" s="306"/>
      <c r="C13" s="306"/>
      <c r="D13" s="306"/>
      <c r="E13" s="306"/>
      <c r="F13" s="307"/>
    </row>
    <row r="14" spans="1:6" ht="26.5" customHeight="1" x14ac:dyDescent="0.35">
      <c r="A14" s="169" t="s">
        <v>18</v>
      </c>
      <c r="B14" s="170" t="s">
        <v>19</v>
      </c>
      <c r="C14" s="171" t="s">
        <v>20</v>
      </c>
      <c r="D14" s="171" t="s">
        <v>257</v>
      </c>
      <c r="E14" s="172" t="s">
        <v>258</v>
      </c>
      <c r="F14" s="173" t="s">
        <v>21</v>
      </c>
    </row>
    <row r="15" spans="1:6" ht="25.15" customHeight="1" x14ac:dyDescent="0.35">
      <c r="A15" s="174"/>
      <c r="B15" s="155"/>
      <c r="C15" s="154" t="s">
        <v>22</v>
      </c>
      <c r="D15" s="217">
        <f>B8</f>
        <v>2026</v>
      </c>
      <c r="E15" s="217">
        <f>B9</f>
        <v>2026</v>
      </c>
      <c r="F15" s="250" t="s">
        <v>254</v>
      </c>
    </row>
    <row r="16" spans="1:6" ht="8.4" customHeight="1" thickBot="1" x14ac:dyDescent="0.4">
      <c r="A16" s="231"/>
      <c r="B16" s="231"/>
      <c r="C16" s="231"/>
      <c r="D16" s="232"/>
      <c r="E16" s="232"/>
      <c r="F16" s="233"/>
    </row>
    <row r="17" spans="1:6" ht="26.15" customHeight="1" x14ac:dyDescent="0.35">
      <c r="A17" s="234" t="s">
        <v>25</v>
      </c>
      <c r="B17" s="235"/>
      <c r="C17" s="235"/>
      <c r="D17" s="235"/>
      <c r="E17" s="235"/>
      <c r="F17" s="236"/>
    </row>
    <row r="18" spans="1:6" ht="42.25" customHeight="1" x14ac:dyDescent="0.35">
      <c r="A18" s="179" t="s">
        <v>27</v>
      </c>
      <c r="B18" s="109" t="s">
        <v>28</v>
      </c>
      <c r="C18" s="109"/>
      <c r="D18" s="270">
        <v>300</v>
      </c>
      <c r="E18" s="133">
        <f t="shared" ref="E18:E23" si="0">D18*$F$8</f>
        <v>300</v>
      </c>
      <c r="F18" s="180" t="s">
        <v>183</v>
      </c>
    </row>
    <row r="19" spans="1:6" ht="42.25" customHeight="1" x14ac:dyDescent="0.35">
      <c r="A19" s="179" t="s">
        <v>29</v>
      </c>
      <c r="B19" s="109" t="s">
        <v>28</v>
      </c>
      <c r="C19" s="109"/>
      <c r="D19" s="270">
        <v>300</v>
      </c>
      <c r="E19" s="133">
        <f t="shared" si="0"/>
        <v>300</v>
      </c>
      <c r="F19" s="180" t="s">
        <v>184</v>
      </c>
    </row>
    <row r="20" spans="1:6" ht="26.15" customHeight="1" x14ac:dyDescent="0.35">
      <c r="A20" s="178" t="s">
        <v>30</v>
      </c>
      <c r="B20" s="109" t="s">
        <v>31</v>
      </c>
      <c r="C20" s="109"/>
      <c r="D20" s="270">
        <f>26400/5280</f>
        <v>5</v>
      </c>
      <c r="E20" s="133">
        <f t="shared" si="0"/>
        <v>5</v>
      </c>
      <c r="F20" s="180" t="s">
        <v>32</v>
      </c>
    </row>
    <row r="21" spans="1:6" ht="26.15" customHeight="1" x14ac:dyDescent="0.35">
      <c r="A21" s="178" t="s">
        <v>33</v>
      </c>
      <c r="B21" s="109" t="s">
        <v>31</v>
      </c>
      <c r="C21" s="109"/>
      <c r="D21" s="270">
        <f>6600/5280</f>
        <v>1.25</v>
      </c>
      <c r="E21" s="133">
        <f t="shared" si="0"/>
        <v>1.25</v>
      </c>
      <c r="F21" s="180" t="s">
        <v>32</v>
      </c>
    </row>
    <row r="22" spans="1:6" ht="26.15" customHeight="1" x14ac:dyDescent="0.35">
      <c r="A22" s="178" t="s">
        <v>34</v>
      </c>
      <c r="B22" s="109" t="s">
        <v>31</v>
      </c>
      <c r="C22" s="109"/>
      <c r="D22" s="270">
        <f>26400/5280</f>
        <v>5</v>
      </c>
      <c r="E22" s="133">
        <f t="shared" si="0"/>
        <v>5</v>
      </c>
      <c r="F22" s="180" t="s">
        <v>32</v>
      </c>
    </row>
    <row r="23" spans="1:6" ht="26.15" customHeight="1" x14ac:dyDescent="0.35">
      <c r="A23" s="178" t="s">
        <v>35</v>
      </c>
      <c r="B23" s="109" t="s">
        <v>36</v>
      </c>
      <c r="C23" s="109"/>
      <c r="D23" s="270">
        <v>20</v>
      </c>
      <c r="E23" s="133">
        <f t="shared" si="0"/>
        <v>20</v>
      </c>
      <c r="F23" s="180" t="s">
        <v>259</v>
      </c>
    </row>
    <row r="24" spans="1:6" ht="26.15" customHeight="1" x14ac:dyDescent="0.35">
      <c r="A24" s="175" t="s">
        <v>276</v>
      </c>
      <c r="B24" s="151"/>
      <c r="C24" s="151"/>
      <c r="D24" s="151"/>
      <c r="E24" s="151"/>
      <c r="F24" s="237"/>
    </row>
    <row r="25" spans="1:6" ht="43.5" x14ac:dyDescent="0.35">
      <c r="A25" s="238" t="s">
        <v>288</v>
      </c>
      <c r="B25" s="109" t="s">
        <v>277</v>
      </c>
      <c r="C25" s="109"/>
      <c r="D25" s="270">
        <v>6</v>
      </c>
      <c r="E25" s="133">
        <f t="shared" ref="E25" si="1">D25*$F$8</f>
        <v>6</v>
      </c>
      <c r="F25" s="180" t="s">
        <v>285</v>
      </c>
    </row>
    <row r="26" spans="1:6" ht="43.5" x14ac:dyDescent="0.35">
      <c r="A26" s="238" t="s">
        <v>284</v>
      </c>
      <c r="B26" s="109" t="s">
        <v>277</v>
      </c>
      <c r="C26" s="109"/>
      <c r="D26" s="270">
        <v>5</v>
      </c>
      <c r="E26" s="133">
        <f t="shared" ref="E26:E27" si="2">D26*$F$8</f>
        <v>5</v>
      </c>
      <c r="F26" s="180" t="s">
        <v>286</v>
      </c>
    </row>
    <row r="27" spans="1:6" ht="29" x14ac:dyDescent="0.35">
      <c r="A27" s="238" t="s">
        <v>281</v>
      </c>
      <c r="B27" s="109" t="s">
        <v>279</v>
      </c>
      <c r="C27" s="109"/>
      <c r="D27" s="270">
        <v>130</v>
      </c>
      <c r="E27" s="133">
        <f t="shared" si="2"/>
        <v>130</v>
      </c>
      <c r="F27" s="180" t="s">
        <v>287</v>
      </c>
    </row>
    <row r="28" spans="1:6" ht="26.15" customHeight="1" x14ac:dyDescent="0.35">
      <c r="A28" s="175" t="s">
        <v>37</v>
      </c>
      <c r="B28" s="153" t="s">
        <v>229</v>
      </c>
      <c r="C28" s="153" t="s">
        <v>339</v>
      </c>
      <c r="D28" s="153" t="s">
        <v>28</v>
      </c>
      <c r="E28" s="153" t="s">
        <v>38</v>
      </c>
      <c r="F28" s="239" t="s">
        <v>26</v>
      </c>
    </row>
    <row r="29" spans="1:6" ht="29.9" customHeight="1" x14ac:dyDescent="0.35">
      <c r="A29" s="181" t="s">
        <v>39</v>
      </c>
      <c r="B29" s="111">
        <f>2*1.5</f>
        <v>3</v>
      </c>
      <c r="C29" s="111" t="s">
        <v>40</v>
      </c>
      <c r="D29" s="270">
        <v>500</v>
      </c>
      <c r="E29" s="133">
        <f t="shared" ref="E29:E35" si="3">D29*$F$8</f>
        <v>500</v>
      </c>
      <c r="F29" s="177" t="s">
        <v>41</v>
      </c>
    </row>
    <row r="30" spans="1:6" ht="26.15" customHeight="1" x14ac:dyDescent="0.35">
      <c r="A30" s="181" t="s">
        <v>42</v>
      </c>
      <c r="B30" s="112">
        <f>2*8/12</f>
        <v>1.3333333333333333</v>
      </c>
      <c r="C30" s="111" t="s">
        <v>43</v>
      </c>
      <c r="D30" s="270">
        <v>500</v>
      </c>
      <c r="E30" s="133">
        <f t="shared" si="3"/>
        <v>500</v>
      </c>
      <c r="F30" s="177" t="s">
        <v>41</v>
      </c>
    </row>
    <row r="31" spans="1:6" ht="26.15" customHeight="1" x14ac:dyDescent="0.35">
      <c r="A31" s="181" t="s">
        <v>44</v>
      </c>
      <c r="B31" s="112">
        <f>2*8/12</f>
        <v>1.3333333333333333</v>
      </c>
      <c r="C31" s="111" t="s">
        <v>43</v>
      </c>
      <c r="D31" s="270">
        <v>500</v>
      </c>
      <c r="E31" s="133">
        <f t="shared" si="3"/>
        <v>500</v>
      </c>
      <c r="F31" s="177" t="s">
        <v>41</v>
      </c>
    </row>
    <row r="32" spans="1:6" ht="26.15" customHeight="1" x14ac:dyDescent="0.35">
      <c r="A32" s="181" t="s">
        <v>45</v>
      </c>
      <c r="B32" s="111">
        <f>3*2.5</f>
        <v>7.5</v>
      </c>
      <c r="C32" s="111" t="s">
        <v>46</v>
      </c>
      <c r="D32" s="270">
        <v>500</v>
      </c>
      <c r="E32" s="133">
        <f t="shared" si="3"/>
        <v>500</v>
      </c>
      <c r="F32" s="177" t="s">
        <v>41</v>
      </c>
    </row>
    <row r="33" spans="1:6" ht="26.15" customHeight="1" x14ac:dyDescent="0.35">
      <c r="A33" s="181" t="s">
        <v>47</v>
      </c>
      <c r="B33" s="111">
        <f>2.5*2.5</f>
        <v>6.25</v>
      </c>
      <c r="C33" s="111" t="s">
        <v>48</v>
      </c>
      <c r="D33" s="270">
        <v>500</v>
      </c>
      <c r="E33" s="133">
        <f t="shared" si="3"/>
        <v>500</v>
      </c>
      <c r="F33" s="177" t="s">
        <v>41</v>
      </c>
    </row>
    <row r="34" spans="1:6" ht="26" customHeight="1" x14ac:dyDescent="0.35">
      <c r="A34" s="181" t="s">
        <v>246</v>
      </c>
      <c r="B34" s="111">
        <f>2*1.5</f>
        <v>3</v>
      </c>
      <c r="C34" s="111" t="s">
        <v>40</v>
      </c>
      <c r="D34" s="270">
        <v>500</v>
      </c>
      <c r="E34" s="133">
        <f t="shared" ref="E34" si="4">D34*$F$8</f>
        <v>500</v>
      </c>
      <c r="F34" s="177" t="s">
        <v>41</v>
      </c>
    </row>
    <row r="35" spans="1:6" ht="29" x14ac:dyDescent="0.35">
      <c r="A35" s="181" t="s">
        <v>49</v>
      </c>
      <c r="B35" s="111" t="s">
        <v>50</v>
      </c>
      <c r="C35" s="111" t="s">
        <v>50</v>
      </c>
      <c r="D35" s="270">
        <v>2000</v>
      </c>
      <c r="E35" s="133">
        <f t="shared" si="3"/>
        <v>2000</v>
      </c>
      <c r="F35" s="180" t="s">
        <v>247</v>
      </c>
    </row>
    <row r="36" spans="1:6" ht="26.15" customHeight="1" x14ac:dyDescent="0.35">
      <c r="A36" s="175" t="s">
        <v>51</v>
      </c>
      <c r="B36" s="152"/>
      <c r="C36" s="152"/>
      <c r="D36" s="152"/>
      <c r="E36" s="152"/>
      <c r="F36" s="182"/>
    </row>
    <row r="37" spans="1:6" ht="29" x14ac:dyDescent="0.35">
      <c r="A37" s="181" t="s">
        <v>52</v>
      </c>
      <c r="B37" s="111" t="s">
        <v>28</v>
      </c>
      <c r="C37" s="111"/>
      <c r="D37" s="156">
        <v>225</v>
      </c>
      <c r="E37" s="133">
        <f>D37*$F$8</f>
        <v>225</v>
      </c>
      <c r="F37" s="177" t="s">
        <v>274</v>
      </c>
    </row>
    <row r="38" spans="1:6" ht="72.5" x14ac:dyDescent="0.35">
      <c r="A38" s="181" t="s">
        <v>291</v>
      </c>
      <c r="B38" s="111" t="s">
        <v>28</v>
      </c>
      <c r="C38" s="111"/>
      <c r="D38" s="271">
        <v>400</v>
      </c>
      <c r="E38" s="133">
        <f>D38*$F$8</f>
        <v>400</v>
      </c>
      <c r="F38" s="180" t="s">
        <v>290</v>
      </c>
    </row>
    <row r="39" spans="1:6" ht="26.4" customHeight="1" x14ac:dyDescent="0.35">
      <c r="A39" s="181" t="s">
        <v>275</v>
      </c>
      <c r="B39" s="111" t="s">
        <v>28</v>
      </c>
      <c r="C39" s="111"/>
      <c r="D39" s="271">
        <f>1000*2+1000*0.3</f>
        <v>2300</v>
      </c>
      <c r="E39" s="133">
        <f>D39*$F$8</f>
        <v>2300</v>
      </c>
      <c r="F39" s="216"/>
    </row>
    <row r="40" spans="1:6" ht="26.15" customHeight="1" x14ac:dyDescent="0.35">
      <c r="A40" s="181" t="s">
        <v>53</v>
      </c>
      <c r="B40" s="113" t="s">
        <v>31</v>
      </c>
      <c r="C40" s="113"/>
      <c r="D40" s="221">
        <v>250</v>
      </c>
      <c r="E40" s="133">
        <f>D40*$F$8</f>
        <v>250</v>
      </c>
      <c r="F40" s="177" t="s">
        <v>264</v>
      </c>
    </row>
    <row r="41" spans="1:6" ht="26.15" customHeight="1" x14ac:dyDescent="0.35">
      <c r="A41" s="175" t="s">
        <v>54</v>
      </c>
      <c r="B41" s="152"/>
      <c r="C41" s="152"/>
      <c r="D41" s="152"/>
      <c r="E41" s="152"/>
      <c r="F41" s="182"/>
    </row>
    <row r="42" spans="1:6" ht="29" x14ac:dyDescent="0.35">
      <c r="A42" s="181" t="s">
        <v>241</v>
      </c>
      <c r="B42" s="111" t="s">
        <v>55</v>
      </c>
      <c r="C42" s="110"/>
      <c r="D42" s="156">
        <v>20000</v>
      </c>
      <c r="E42" s="133">
        <f>D42*$F$8</f>
        <v>20000</v>
      </c>
      <c r="F42" s="180" t="s">
        <v>26</v>
      </c>
    </row>
    <row r="43" spans="1:6" ht="43.5" x14ac:dyDescent="0.35">
      <c r="A43" s="215" t="s">
        <v>230</v>
      </c>
      <c r="B43" s="114" t="s">
        <v>55</v>
      </c>
      <c r="C43" s="110"/>
      <c r="D43" s="156">
        <v>30000</v>
      </c>
      <c r="E43" s="133">
        <f>D43*$F$8</f>
        <v>30000</v>
      </c>
      <c r="F43" s="177"/>
    </row>
    <row r="44" spans="1:6" ht="43.5" x14ac:dyDescent="0.35">
      <c r="A44" s="215" t="s">
        <v>240</v>
      </c>
      <c r="B44" s="114" t="s">
        <v>55</v>
      </c>
      <c r="C44" s="110"/>
      <c r="D44" s="156">
        <v>20000</v>
      </c>
      <c r="E44" s="133">
        <f>D44*$F$8</f>
        <v>20000</v>
      </c>
      <c r="F44" s="177"/>
    </row>
    <row r="45" spans="1:6" ht="26.15" customHeight="1" x14ac:dyDescent="0.35">
      <c r="A45" s="175" t="s">
        <v>56</v>
      </c>
      <c r="B45" s="152"/>
      <c r="C45" s="152"/>
      <c r="D45" s="152"/>
      <c r="E45" s="152"/>
      <c r="F45" s="182"/>
    </row>
    <row r="46" spans="1:6" ht="43.5" x14ac:dyDescent="0.35">
      <c r="A46" s="183" t="s">
        <v>57</v>
      </c>
      <c r="B46" s="114" t="s">
        <v>28</v>
      </c>
      <c r="C46" s="114"/>
      <c r="D46" s="156">
        <v>22000</v>
      </c>
      <c r="E46" s="133">
        <f t="shared" ref="E46:E52" si="5">D46*$F$8</f>
        <v>22000</v>
      </c>
      <c r="F46" s="180" t="s">
        <v>263</v>
      </c>
    </row>
    <row r="47" spans="1:6" ht="43.5" x14ac:dyDescent="0.35">
      <c r="A47" s="183" t="s">
        <v>59</v>
      </c>
      <c r="B47" s="114" t="s">
        <v>28</v>
      </c>
      <c r="C47" s="114"/>
      <c r="D47" s="156">
        <v>30000</v>
      </c>
      <c r="E47" s="133">
        <f t="shared" si="5"/>
        <v>30000</v>
      </c>
      <c r="F47" s="180" t="s">
        <v>261</v>
      </c>
    </row>
    <row r="48" spans="1:6" ht="29" x14ac:dyDescent="0.35">
      <c r="A48" s="183" t="s">
        <v>60</v>
      </c>
      <c r="B48" s="114" t="s">
        <v>28</v>
      </c>
      <c r="C48" s="114"/>
      <c r="D48" s="156">
        <v>13000</v>
      </c>
      <c r="E48" s="133">
        <f t="shared" si="5"/>
        <v>13000</v>
      </c>
      <c r="F48" s="180" t="s">
        <v>231</v>
      </c>
    </row>
    <row r="49" spans="1:10" ht="43.5" x14ac:dyDescent="0.35">
      <c r="A49" s="183" t="s">
        <v>61</v>
      </c>
      <c r="B49" s="114" t="s">
        <v>28</v>
      </c>
      <c r="C49" s="114"/>
      <c r="D49" s="156">
        <v>100000</v>
      </c>
      <c r="E49" s="133">
        <f t="shared" si="5"/>
        <v>100000</v>
      </c>
      <c r="F49" s="180" t="s">
        <v>232</v>
      </c>
    </row>
    <row r="50" spans="1:10" ht="103.5" customHeight="1" x14ac:dyDescent="0.35">
      <c r="A50" s="183" t="s">
        <v>62</v>
      </c>
      <c r="B50" s="114" t="s">
        <v>58</v>
      </c>
      <c r="C50" s="114"/>
      <c r="D50" s="212" t="s">
        <v>260</v>
      </c>
      <c r="E50" s="272" t="str">
        <f>D50</f>
        <v>$60,000 to $250,000</v>
      </c>
      <c r="F50" s="213" t="s">
        <v>233</v>
      </c>
    </row>
    <row r="51" spans="1:10" ht="48.5" x14ac:dyDescent="0.35">
      <c r="A51" s="183" t="s">
        <v>178</v>
      </c>
      <c r="B51" s="114" t="s">
        <v>28</v>
      </c>
      <c r="C51" s="114"/>
      <c r="D51" s="156">
        <f>200*30+1000</f>
        <v>7000</v>
      </c>
      <c r="E51" s="133">
        <f t="shared" ref="E51" si="6">D51*$F$8</f>
        <v>7000</v>
      </c>
      <c r="F51" s="213" t="s">
        <v>255</v>
      </c>
    </row>
    <row r="52" spans="1:10" ht="29" x14ac:dyDescent="0.35">
      <c r="A52" s="183" t="s">
        <v>63</v>
      </c>
      <c r="B52" s="114" t="s">
        <v>28</v>
      </c>
      <c r="C52" s="114"/>
      <c r="D52" s="156">
        <v>5000</v>
      </c>
      <c r="E52" s="133">
        <f t="shared" si="5"/>
        <v>5000</v>
      </c>
      <c r="F52" s="180" t="s">
        <v>235</v>
      </c>
    </row>
    <row r="53" spans="1:10" ht="26.15" customHeight="1" x14ac:dyDescent="0.35">
      <c r="A53" s="175" t="s">
        <v>64</v>
      </c>
      <c r="B53" s="152"/>
      <c r="C53" s="152"/>
      <c r="D53" s="152"/>
      <c r="E53" s="152"/>
      <c r="F53" s="182"/>
    </row>
    <row r="54" spans="1:10" ht="29" x14ac:dyDescent="0.35">
      <c r="A54" s="183" t="s">
        <v>65</v>
      </c>
      <c r="B54" s="114" t="s">
        <v>28</v>
      </c>
      <c r="C54" s="114" t="s">
        <v>26</v>
      </c>
      <c r="D54" s="156">
        <v>1000</v>
      </c>
      <c r="E54" s="133">
        <f>D54*$F$8</f>
        <v>1000</v>
      </c>
      <c r="F54" s="180" t="s">
        <v>256</v>
      </c>
    </row>
    <row r="55" spans="1:10" ht="72.5" x14ac:dyDescent="0.35">
      <c r="A55" s="183" t="s">
        <v>248</v>
      </c>
      <c r="B55" s="289" t="s">
        <v>250</v>
      </c>
      <c r="C55" s="279"/>
      <c r="D55" s="156">
        <v>250</v>
      </c>
      <c r="E55" s="133">
        <f t="shared" ref="E55:E56" si="7">D55*$F$8</f>
        <v>250</v>
      </c>
      <c r="F55" s="213" t="s">
        <v>251</v>
      </c>
      <c r="G55" s="42"/>
    </row>
    <row r="56" spans="1:10" ht="72.5" x14ac:dyDescent="0.35">
      <c r="A56" s="183" t="s">
        <v>249</v>
      </c>
      <c r="B56" s="114" t="s">
        <v>28</v>
      </c>
      <c r="C56" s="114"/>
      <c r="D56" s="156">
        <v>37000</v>
      </c>
      <c r="E56" s="133">
        <f t="shared" si="7"/>
        <v>37000</v>
      </c>
      <c r="F56" s="180" t="s">
        <v>344</v>
      </c>
    </row>
    <row r="57" spans="1:10" ht="26.15" customHeight="1" x14ac:dyDescent="0.35">
      <c r="A57" s="175" t="s">
        <v>66</v>
      </c>
      <c r="B57" s="152"/>
      <c r="C57" s="152"/>
      <c r="D57" s="152"/>
      <c r="E57" s="152"/>
      <c r="F57" s="182"/>
    </row>
    <row r="58" spans="1:10" ht="43.5" x14ac:dyDescent="0.35">
      <c r="A58" s="183" t="s">
        <v>67</v>
      </c>
      <c r="B58" s="114" t="s">
        <v>36</v>
      </c>
      <c r="C58" s="114"/>
      <c r="D58" s="156">
        <v>295</v>
      </c>
      <c r="E58" s="133">
        <f t="shared" ref="E58:E67" si="8">D58*$F$8</f>
        <v>295</v>
      </c>
      <c r="F58" s="180" t="s">
        <v>236</v>
      </c>
    </row>
    <row r="59" spans="1:10" ht="48.5" x14ac:dyDescent="0.35">
      <c r="A59" s="183" t="s">
        <v>68</v>
      </c>
      <c r="B59" s="114" t="s">
        <v>36</v>
      </c>
      <c r="C59" s="114"/>
      <c r="D59" s="156">
        <f>525*0.9</f>
        <v>472.5</v>
      </c>
      <c r="E59" s="133">
        <f t="shared" si="8"/>
        <v>472.5</v>
      </c>
      <c r="F59" s="213" t="s">
        <v>338</v>
      </c>
    </row>
    <row r="60" spans="1:10" ht="29" x14ac:dyDescent="0.35">
      <c r="A60" s="183" t="s">
        <v>69</v>
      </c>
      <c r="B60" s="114" t="s">
        <v>36</v>
      </c>
      <c r="C60" s="114"/>
      <c r="D60" s="156">
        <v>250</v>
      </c>
      <c r="E60" s="133">
        <f t="shared" si="8"/>
        <v>250</v>
      </c>
      <c r="F60" s="180" t="s">
        <v>239</v>
      </c>
      <c r="J60" t="s">
        <v>26</v>
      </c>
    </row>
    <row r="61" spans="1:10" ht="26" customHeight="1" x14ac:dyDescent="0.35">
      <c r="A61" s="183" t="s">
        <v>325</v>
      </c>
      <c r="B61" s="114" t="s">
        <v>36</v>
      </c>
      <c r="C61" s="114"/>
      <c r="D61" s="156">
        <v>125</v>
      </c>
      <c r="E61" s="133">
        <f t="shared" si="8"/>
        <v>125</v>
      </c>
      <c r="F61" s="177"/>
    </row>
    <row r="62" spans="1:10" ht="26.15" customHeight="1" x14ac:dyDescent="0.35">
      <c r="A62" s="183" t="s">
        <v>253</v>
      </c>
      <c r="B62" s="114" t="s">
        <v>36</v>
      </c>
      <c r="C62" s="114"/>
      <c r="D62" s="156">
        <v>90</v>
      </c>
      <c r="E62" s="133">
        <f t="shared" si="8"/>
        <v>90</v>
      </c>
      <c r="F62" s="177"/>
    </row>
    <row r="63" spans="1:10" ht="57.75" customHeight="1" x14ac:dyDescent="0.35">
      <c r="A63" s="183" t="s">
        <v>70</v>
      </c>
      <c r="B63" s="114" t="s">
        <v>36</v>
      </c>
      <c r="C63" s="114"/>
      <c r="D63" s="221">
        <v>2500</v>
      </c>
      <c r="E63" s="133">
        <f t="shared" si="8"/>
        <v>2500</v>
      </c>
      <c r="F63" s="177"/>
    </row>
    <row r="64" spans="1:10" ht="26.15" customHeight="1" x14ac:dyDescent="0.35">
      <c r="A64" s="183" t="s">
        <v>71</v>
      </c>
      <c r="B64" s="114" t="s">
        <v>237</v>
      </c>
      <c r="C64" s="114"/>
      <c r="D64" s="156">
        <v>11000</v>
      </c>
      <c r="E64" s="133">
        <f t="shared" si="8"/>
        <v>11000</v>
      </c>
      <c r="F64" s="177" t="s">
        <v>73</v>
      </c>
    </row>
    <row r="65" spans="1:6" ht="26.15" customHeight="1" x14ac:dyDescent="0.35">
      <c r="A65" s="175" t="s">
        <v>74</v>
      </c>
      <c r="B65" s="152"/>
      <c r="C65" s="152"/>
      <c r="D65" s="152"/>
      <c r="E65" s="152"/>
      <c r="F65" s="182"/>
    </row>
    <row r="66" spans="1:6" ht="29" x14ac:dyDescent="0.35">
      <c r="A66" s="183" t="s">
        <v>207</v>
      </c>
      <c r="B66" s="114" t="s">
        <v>31</v>
      </c>
      <c r="C66" s="114"/>
      <c r="D66" s="156">
        <v>45</v>
      </c>
      <c r="E66" s="133">
        <f t="shared" si="8"/>
        <v>45</v>
      </c>
      <c r="F66" s="180" t="s">
        <v>208</v>
      </c>
    </row>
    <row r="67" spans="1:6" ht="26.15" customHeight="1" x14ac:dyDescent="0.35">
      <c r="A67" s="183" t="s">
        <v>205</v>
      </c>
      <c r="B67" s="114" t="s">
        <v>210</v>
      </c>
      <c r="C67" s="114"/>
      <c r="D67" s="156">
        <v>750000</v>
      </c>
      <c r="E67" s="133">
        <f t="shared" si="8"/>
        <v>750000</v>
      </c>
      <c r="F67" s="177"/>
    </row>
    <row r="68" spans="1:6" ht="26.5" customHeight="1" x14ac:dyDescent="0.35">
      <c r="A68" s="175" t="s">
        <v>294</v>
      </c>
      <c r="B68" s="152"/>
      <c r="C68" s="152"/>
      <c r="D68" s="152"/>
      <c r="E68" s="152"/>
      <c r="F68" s="182"/>
    </row>
    <row r="69" spans="1:6" ht="26.5" customHeight="1" x14ac:dyDescent="0.35">
      <c r="A69" s="178" t="s">
        <v>295</v>
      </c>
      <c r="B69" s="113" t="s">
        <v>72</v>
      </c>
      <c r="C69" s="113"/>
      <c r="D69" s="273">
        <v>1800000</v>
      </c>
      <c r="E69" s="133">
        <f>D69*$F$8</f>
        <v>1800000</v>
      </c>
      <c r="F69" s="247" t="s">
        <v>296</v>
      </c>
    </row>
    <row r="70" spans="1:6" ht="26.5" customHeight="1" x14ac:dyDescent="0.35">
      <c r="A70" s="175" t="s">
        <v>269</v>
      </c>
      <c r="B70" s="152"/>
      <c r="C70" s="152"/>
      <c r="D70" s="152"/>
      <c r="E70" s="152"/>
      <c r="F70" s="182"/>
    </row>
    <row r="71" spans="1:6" ht="104.65" customHeight="1" x14ac:dyDescent="0.35">
      <c r="A71" s="176" t="s">
        <v>23</v>
      </c>
      <c r="B71" s="308" t="s">
        <v>173</v>
      </c>
      <c r="C71" s="308"/>
      <c r="D71" s="310" t="s">
        <v>273</v>
      </c>
      <c r="E71" s="311"/>
      <c r="F71" s="312"/>
    </row>
    <row r="72" spans="1:6" ht="88.25" customHeight="1" x14ac:dyDescent="0.35">
      <c r="A72" s="176" t="s">
        <v>84</v>
      </c>
      <c r="B72" s="308" t="s">
        <v>186</v>
      </c>
      <c r="C72" s="308"/>
      <c r="D72" s="313" t="s">
        <v>185</v>
      </c>
      <c r="E72" s="314"/>
      <c r="F72" s="315"/>
    </row>
    <row r="73" spans="1:6" ht="74" customHeight="1" thickBot="1" x14ac:dyDescent="0.4">
      <c r="A73" s="186" t="s">
        <v>24</v>
      </c>
      <c r="B73" s="309" t="s">
        <v>187</v>
      </c>
      <c r="C73" s="309"/>
      <c r="D73" s="316" t="s">
        <v>190</v>
      </c>
      <c r="E73" s="317"/>
      <c r="F73" s="318"/>
    </row>
    <row r="74" spans="1:6" ht="26.5" customHeight="1" x14ac:dyDescent="0.35"/>
    <row r="75" spans="1:6" ht="26.5" customHeight="1" x14ac:dyDescent="0.35"/>
    <row r="76" spans="1:6" ht="50.25" customHeight="1" x14ac:dyDescent="0.35"/>
  </sheetData>
  <sheetProtection algorithmName="SHA-512" hashValue="ldVZ/7QxsU5DoL+AtspmftDSTXWtSIEcGzJTjuXxLwBxRuQcTr5krypVVDRHiCUD/3E0Y9b9ztTnhIkmCbQiuA==" saltValue="n4trN32pNSsxz7HgRJUfqA==" spinCount="100000" sheet="1" objects="1" scenarios="1"/>
  <mergeCells count="9">
    <mergeCell ref="A1:F1"/>
    <mergeCell ref="A2:F6"/>
    <mergeCell ref="A13:F13"/>
    <mergeCell ref="B72:C72"/>
    <mergeCell ref="B73:C73"/>
    <mergeCell ref="D71:F71"/>
    <mergeCell ref="D72:F72"/>
    <mergeCell ref="D73:F73"/>
    <mergeCell ref="B71:C71"/>
  </mergeCells>
  <dataValidations xWindow="690" yWindow="374" count="2">
    <dataValidation allowBlank="1" showInputMessage="1" showErrorMessage="1" promptTitle="Flex Posts" prompt="Physical separation to deter motor vehicle infringement onto the bike lane. Passive unit cost is a placeholder for each separator's unit cost.  The Active Unit Cost can be user adjusted depending on which separator is preferred for the project._x000a_" sqref="D37" xr:uid="{5E051201-CB44-4037-80EE-65325870CA93}"/>
    <dataValidation allowBlank="1" showInputMessage="1" showErrorMessage="1" prompt="2025 cost values are estimated by applying a 9.23% inflation rate to 2022 costs." sqref="D12:D13" xr:uid="{82A473FD-9BAD-4AB9-9009-9D691A3A0FFD}"/>
  </dataValidations>
  <pageMargins left="0.7" right="0.7" top="0.75" bottom="0.75" header="0.3" footer="0.3"/>
  <pageSetup scale="65" fitToHeight="4" orientation="portrait" r:id="rId1"/>
  <headerFooter>
    <oddHeader xml:space="preserve">&amp;LMDOT Bikeways Project Cost Estimator&amp;RMaster List of Items
</oddHeader>
  </headerFooter>
  <ignoredErrors>
    <ignoredError sqref="D21 E50" formula="1"/>
    <ignoredError sqref="D5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91CD-AB72-4340-B2D2-3EB0A02DB6C3}">
  <sheetPr codeName="Sheet4">
    <pageSetUpPr fitToPage="1"/>
  </sheetPr>
  <dimension ref="A1:AH28"/>
  <sheetViews>
    <sheetView zoomScaleNormal="100" workbookViewId="0">
      <selection activeCell="I8" sqref="I8"/>
    </sheetView>
  </sheetViews>
  <sheetFormatPr defaultColWidth="9.08984375" defaultRowHeight="14.5" x14ac:dyDescent="0.35"/>
  <cols>
    <col min="1" max="1" width="8.6328125" style="2" customWidth="1"/>
    <col min="2" max="2" width="39.6328125" style="1" customWidth="1"/>
    <col min="3" max="3" width="12.6328125" style="4" customWidth="1"/>
    <col min="4" max="4" width="9.6328125" style="4" customWidth="1"/>
    <col min="5" max="7" width="12.6328125" style="3" customWidth="1"/>
    <col min="8" max="8" width="13.90625" style="4" customWidth="1"/>
    <col min="9" max="9" width="55.6328125" style="5" customWidth="1"/>
    <col min="10" max="10" width="12.6328125" style="5" customWidth="1"/>
    <col min="11" max="11" width="14" style="5" customWidth="1"/>
    <col min="12" max="16" width="12.6328125" style="5" customWidth="1"/>
    <col min="17" max="17" width="14.36328125" style="3" bestFit="1" customWidth="1"/>
    <col min="18" max="18" width="12.6328125" style="5" customWidth="1"/>
    <col min="19" max="19" width="10.6328125" style="3" customWidth="1"/>
    <col min="20" max="23" width="12.6328125" style="5" customWidth="1"/>
    <col min="24" max="24" width="14.36328125" style="5" customWidth="1"/>
    <col min="25" max="26" width="12.6328125" style="5" customWidth="1"/>
    <col min="27" max="27" width="15.36328125" style="5" customWidth="1"/>
    <col min="28" max="28" width="12.6328125" style="5" customWidth="1"/>
    <col min="29" max="29" width="12.6328125" style="6" customWidth="1"/>
    <col min="30" max="30" width="23" style="1" customWidth="1"/>
    <col min="32" max="32" width="9.6328125" bestFit="1" customWidth="1"/>
    <col min="33" max="33" width="11.6328125" bestFit="1" customWidth="1"/>
  </cols>
  <sheetData>
    <row r="1" spans="1:34" ht="15" thickBot="1" x14ac:dyDescent="0.4">
      <c r="A1" s="51"/>
      <c r="C1" s="2"/>
      <c r="H1" s="2"/>
      <c r="I1" s="116" t="s">
        <v>85</v>
      </c>
      <c r="J1" s="116"/>
      <c r="K1" s="116"/>
      <c r="L1" s="7"/>
      <c r="M1" s="7"/>
      <c r="N1" s="15"/>
      <c r="O1" s="7"/>
      <c r="P1" s="7"/>
      <c r="R1" s="7"/>
      <c r="T1" s="7"/>
      <c r="U1" s="7"/>
      <c r="V1" s="7"/>
      <c r="W1" s="7"/>
      <c r="X1" s="7"/>
      <c r="Y1" s="7"/>
      <c r="Z1" s="7"/>
      <c r="AA1" s="7"/>
      <c r="AB1" s="7"/>
      <c r="AC1" s="14"/>
      <c r="AD1" s="13"/>
      <c r="AF1" s="9"/>
      <c r="AG1" s="8"/>
    </row>
    <row r="2" spans="1:34" ht="39" customHeight="1" thickBot="1" x14ac:dyDescent="0.4">
      <c r="A2" s="10"/>
      <c r="B2" s="319" t="s">
        <v>86</v>
      </c>
      <c r="C2" s="320"/>
      <c r="D2" s="320"/>
      <c r="E2" s="320"/>
      <c r="F2" s="320"/>
      <c r="G2" s="321"/>
      <c r="H2" s="10"/>
      <c r="I2" s="276" t="s">
        <v>87</v>
      </c>
      <c r="J2" s="285"/>
      <c r="K2" s="285"/>
      <c r="L2" s="285"/>
      <c r="M2" s="48"/>
      <c r="N2" s="48"/>
      <c r="O2" s="48"/>
      <c r="P2" s="48"/>
      <c r="Q2" s="48"/>
    </row>
    <row r="3" spans="1:34" s="5" customFormat="1" ht="8.15" customHeight="1" thickBot="1" x14ac:dyDescent="0.4">
      <c r="A3" s="10"/>
      <c r="B3" s="322" t="s">
        <v>26</v>
      </c>
      <c r="C3" s="322"/>
      <c r="D3" s="322"/>
      <c r="E3" s="322"/>
      <c r="F3" s="322"/>
      <c r="G3" s="322"/>
      <c r="H3" s="10"/>
      <c r="L3" s="48"/>
      <c r="M3" s="48"/>
      <c r="N3" s="48"/>
      <c r="O3" s="48"/>
      <c r="P3" s="48"/>
      <c r="Q3" s="48"/>
      <c r="S3" s="3"/>
      <c r="AC3" s="6"/>
      <c r="AD3" s="1"/>
      <c r="AE3"/>
      <c r="AF3"/>
      <c r="AG3"/>
      <c r="AH3"/>
    </row>
    <row r="4" spans="1:34" s="5" customFormat="1" ht="28.25" customHeight="1" x14ac:dyDescent="0.35">
      <c r="A4" s="10"/>
      <c r="B4" s="92" t="s">
        <v>88</v>
      </c>
      <c r="C4" s="93" t="s">
        <v>89</v>
      </c>
      <c r="D4" s="93"/>
      <c r="E4" s="94" t="s">
        <v>75</v>
      </c>
      <c r="F4" s="95"/>
      <c r="G4" s="81"/>
      <c r="H4" s="10"/>
      <c r="I4" s="286" t="s">
        <v>195</v>
      </c>
      <c r="J4" s="286"/>
      <c r="K4" s="286"/>
      <c r="L4" s="286"/>
      <c r="Q4" s="3"/>
      <c r="S4" s="3"/>
      <c r="AC4" s="6"/>
      <c r="AD4" s="1"/>
      <c r="AE4"/>
      <c r="AF4"/>
      <c r="AG4"/>
      <c r="AH4"/>
    </row>
    <row r="5" spans="1:34" s="5" customFormat="1" ht="16.25" customHeight="1" x14ac:dyDescent="0.35">
      <c r="A5" s="10"/>
      <c r="B5" s="61" t="s">
        <v>76</v>
      </c>
      <c r="C5" s="62" t="s">
        <v>77</v>
      </c>
      <c r="E5" s="267">
        <v>0</v>
      </c>
      <c r="F5" s="18"/>
      <c r="G5" s="21"/>
      <c r="H5" s="10"/>
      <c r="I5" s="10" t="s">
        <v>90</v>
      </c>
      <c r="Q5" s="3"/>
      <c r="S5" s="3"/>
      <c r="AC5" s="6"/>
      <c r="AD5" s="1"/>
      <c r="AE5"/>
      <c r="AF5"/>
      <c r="AG5"/>
      <c r="AH5"/>
    </row>
    <row r="6" spans="1:34" s="5" customFormat="1" ht="29" x14ac:dyDescent="0.35">
      <c r="A6" s="10"/>
      <c r="B6" s="61" t="s">
        <v>91</v>
      </c>
      <c r="C6" s="62" t="s">
        <v>271</v>
      </c>
      <c r="D6" s="251"/>
      <c r="E6" s="268" t="s">
        <v>92</v>
      </c>
      <c r="F6" s="18"/>
      <c r="G6" s="21"/>
      <c r="H6" s="10"/>
      <c r="I6" s="10" t="s">
        <v>308</v>
      </c>
      <c r="Q6" s="3"/>
      <c r="S6" s="3"/>
      <c r="AC6" s="6"/>
      <c r="AD6" s="1"/>
      <c r="AE6"/>
      <c r="AF6"/>
      <c r="AG6"/>
      <c r="AH6"/>
    </row>
    <row r="7" spans="1:34" s="5" customFormat="1" ht="16.25" customHeight="1" x14ac:dyDescent="0.35">
      <c r="A7" s="10"/>
      <c r="B7" s="61" t="s">
        <v>76</v>
      </c>
      <c r="C7" s="62" t="s">
        <v>31</v>
      </c>
      <c r="E7" s="117">
        <f>IF(E6="ONE", E5*5280, E5*2*5280)</f>
        <v>0</v>
      </c>
      <c r="F7" s="18"/>
      <c r="G7" s="21"/>
      <c r="H7" s="10"/>
      <c r="I7" s="10" t="s">
        <v>93</v>
      </c>
      <c r="Q7" s="3"/>
      <c r="S7" s="3"/>
      <c r="AC7" s="6"/>
      <c r="AD7" s="1"/>
      <c r="AE7"/>
      <c r="AF7"/>
      <c r="AG7"/>
      <c r="AH7"/>
    </row>
    <row r="8" spans="1:34" s="5" customFormat="1" ht="16.25" customHeight="1" x14ac:dyDescent="0.35">
      <c r="A8" s="10"/>
      <c r="B8" s="22" t="s">
        <v>78</v>
      </c>
      <c r="C8" s="2" t="s">
        <v>28</v>
      </c>
      <c r="E8" s="269">
        <v>0</v>
      </c>
      <c r="F8" s="7"/>
      <c r="G8" s="21"/>
      <c r="H8" s="10"/>
      <c r="I8" s="10" t="s">
        <v>94</v>
      </c>
      <c r="Q8" s="3"/>
      <c r="S8" s="3"/>
      <c r="AC8" s="6"/>
      <c r="AD8" s="1"/>
      <c r="AE8"/>
      <c r="AF8"/>
      <c r="AG8"/>
      <c r="AH8"/>
    </row>
    <row r="9" spans="1:34" s="5" customFormat="1" ht="16.25" customHeight="1" x14ac:dyDescent="0.35">
      <c r="A9" s="10"/>
      <c r="B9" s="23" t="s">
        <v>95</v>
      </c>
      <c r="C9" s="34" t="s">
        <v>31</v>
      </c>
      <c r="E9" s="269">
        <v>0</v>
      </c>
      <c r="F9" s="7"/>
      <c r="G9" s="21"/>
      <c r="H9" s="10"/>
      <c r="I9" s="10" t="s">
        <v>96</v>
      </c>
      <c r="Q9" s="3"/>
      <c r="S9" s="3"/>
      <c r="AC9" s="6"/>
      <c r="AD9" s="1"/>
      <c r="AE9"/>
      <c r="AF9"/>
      <c r="AG9"/>
      <c r="AH9"/>
    </row>
    <row r="10" spans="1:34" s="5" customFormat="1" ht="16.25" customHeight="1" x14ac:dyDescent="0.35">
      <c r="A10" s="10"/>
      <c r="B10" s="23"/>
      <c r="C10" s="34"/>
      <c r="E10" s="20"/>
      <c r="F10" s="26"/>
      <c r="G10" s="21"/>
      <c r="H10" s="10"/>
      <c r="I10" s="10"/>
      <c r="Q10" s="3"/>
      <c r="S10" s="3"/>
      <c r="AC10" s="6"/>
      <c r="AD10" s="1"/>
      <c r="AE10"/>
      <c r="AF10"/>
      <c r="AG10"/>
      <c r="AH10"/>
    </row>
    <row r="11" spans="1:34" s="5" customFormat="1" x14ac:dyDescent="0.35">
      <c r="A11" s="10"/>
      <c r="B11" s="96" t="s">
        <v>25</v>
      </c>
      <c r="C11" s="97"/>
      <c r="D11" s="85"/>
      <c r="E11" s="97" t="s">
        <v>75</v>
      </c>
      <c r="F11" s="97" t="s">
        <v>97</v>
      </c>
      <c r="G11" s="218" t="s">
        <v>98</v>
      </c>
      <c r="H11" s="10"/>
      <c r="I11" s="10"/>
      <c r="Q11" s="3"/>
      <c r="S11" s="3"/>
      <c r="AC11" s="6"/>
      <c r="AD11" s="1"/>
      <c r="AE11"/>
      <c r="AF11"/>
      <c r="AG11"/>
      <c r="AH11"/>
    </row>
    <row r="12" spans="1:34" s="5" customFormat="1" x14ac:dyDescent="0.35">
      <c r="A12" s="10"/>
      <c r="B12" s="23" t="s">
        <v>99</v>
      </c>
      <c r="C12" s="34" t="s">
        <v>28</v>
      </c>
      <c r="E12" s="63">
        <f>E7/250+E8</f>
        <v>0</v>
      </c>
      <c r="F12" s="26">
        <f>'Master List of Items'!E18</f>
        <v>300</v>
      </c>
      <c r="G12" s="60">
        <f>E12*F12</f>
        <v>0</v>
      </c>
      <c r="H12" s="10"/>
      <c r="I12" s="10" t="s">
        <v>100</v>
      </c>
      <c r="Q12" s="3"/>
      <c r="S12" s="3"/>
      <c r="AC12" s="6"/>
      <c r="AD12" s="1"/>
      <c r="AE12"/>
      <c r="AF12"/>
      <c r="AG12"/>
      <c r="AH12"/>
    </row>
    <row r="13" spans="1:34" s="5" customFormat="1" ht="16.25" customHeight="1" x14ac:dyDescent="0.35">
      <c r="A13" s="10"/>
      <c r="B13" s="32" t="s">
        <v>30</v>
      </c>
      <c r="C13" s="34" t="s">
        <v>31</v>
      </c>
      <c r="E13" s="108">
        <f>E7-E8*E9</f>
        <v>0</v>
      </c>
      <c r="F13" s="26">
        <f>'Master List of Items'!E20</f>
        <v>5</v>
      </c>
      <c r="G13" s="60">
        <f>E13*F13</f>
        <v>0</v>
      </c>
      <c r="H13" s="10"/>
      <c r="I13" s="10" t="s">
        <v>157</v>
      </c>
      <c r="Q13" s="3"/>
      <c r="S13" s="3"/>
      <c r="AC13" s="6"/>
      <c r="AD13" s="1"/>
      <c r="AE13"/>
      <c r="AF13"/>
      <c r="AG13"/>
      <c r="AH13"/>
    </row>
    <row r="14" spans="1:34" s="5" customFormat="1" ht="16.25" customHeight="1" x14ac:dyDescent="0.35">
      <c r="A14" s="10"/>
      <c r="B14" s="61" t="s">
        <v>34</v>
      </c>
      <c r="C14" s="34" t="s">
        <v>31</v>
      </c>
      <c r="D14" s="63"/>
      <c r="E14" s="269">
        <v>0</v>
      </c>
      <c r="F14" s="26">
        <f>'Master List of Items'!E22</f>
        <v>5</v>
      </c>
      <c r="G14" s="60">
        <f>E14*F14</f>
        <v>0</v>
      </c>
      <c r="H14" s="10"/>
      <c r="I14" s="10" t="s">
        <v>203</v>
      </c>
      <c r="Q14" s="3"/>
      <c r="S14" s="3"/>
      <c r="AC14" s="6"/>
      <c r="AD14" s="1"/>
      <c r="AE14"/>
      <c r="AF14"/>
      <c r="AG14"/>
      <c r="AH14"/>
    </row>
    <row r="15" spans="1:34" ht="29" x14ac:dyDescent="0.35">
      <c r="B15" s="96" t="s">
        <v>37</v>
      </c>
      <c r="C15" s="97" t="s">
        <v>226</v>
      </c>
      <c r="D15" s="98" t="s">
        <v>228</v>
      </c>
      <c r="E15" s="99" t="s">
        <v>75</v>
      </c>
      <c r="F15" s="99" t="s">
        <v>223</v>
      </c>
      <c r="G15" s="219" t="s">
        <v>98</v>
      </c>
      <c r="I15" s="36"/>
    </row>
    <row r="16" spans="1:34" ht="16.25" customHeight="1" x14ac:dyDescent="0.35">
      <c r="B16" s="52" t="s">
        <v>42</v>
      </c>
      <c r="C16" s="25" t="s">
        <v>43</v>
      </c>
      <c r="D16" s="33">
        <v>1.3</v>
      </c>
      <c r="E16" s="118">
        <v>0</v>
      </c>
      <c r="F16" s="26">
        <f>'Master List of Items'!E30</f>
        <v>500</v>
      </c>
      <c r="G16" s="60">
        <f t="shared" ref="G16:G19" si="0">E16*F16*D16</f>
        <v>0</v>
      </c>
      <c r="I16" s="36" t="s">
        <v>224</v>
      </c>
    </row>
    <row r="17" spans="1:34" ht="16.25" customHeight="1" x14ac:dyDescent="0.35">
      <c r="B17" s="52" t="s">
        <v>44</v>
      </c>
      <c r="C17" s="25" t="s">
        <v>43</v>
      </c>
      <c r="D17" s="33">
        <v>1.3</v>
      </c>
      <c r="E17" s="118">
        <v>0</v>
      </c>
      <c r="F17" s="26">
        <f>'Master List of Items'!E31</f>
        <v>500</v>
      </c>
      <c r="G17" s="60">
        <f t="shared" si="0"/>
        <v>0</v>
      </c>
      <c r="I17" s="36" t="s">
        <v>224</v>
      </c>
    </row>
    <row r="18" spans="1:34" ht="16.25" customHeight="1" x14ac:dyDescent="0.35">
      <c r="B18" s="52" t="s">
        <v>45</v>
      </c>
      <c r="C18" s="25" t="s">
        <v>46</v>
      </c>
      <c r="D18" s="33">
        <v>7.5</v>
      </c>
      <c r="E18" s="117">
        <f>IF(E6="ONE", E8, E8*2)</f>
        <v>0</v>
      </c>
      <c r="F18" s="26">
        <f>'Master List of Items'!E32</f>
        <v>500</v>
      </c>
      <c r="G18" s="60">
        <f>E18*F18*D18</f>
        <v>0</v>
      </c>
      <c r="I18" s="36" t="s">
        <v>225</v>
      </c>
    </row>
    <row r="19" spans="1:34" ht="16.25" customHeight="1" x14ac:dyDescent="0.35">
      <c r="B19" s="35" t="s">
        <v>47</v>
      </c>
      <c r="C19" s="25" t="s">
        <v>48</v>
      </c>
      <c r="D19" s="33">
        <v>6.25</v>
      </c>
      <c r="E19" s="119">
        <v>0</v>
      </c>
      <c r="F19" s="26">
        <f>'Master List of Items'!E33</f>
        <v>500</v>
      </c>
      <c r="G19" s="60">
        <f t="shared" si="0"/>
        <v>0</v>
      </c>
      <c r="I19" s="36" t="s">
        <v>224</v>
      </c>
    </row>
    <row r="20" spans="1:34" ht="16.25" customHeight="1" x14ac:dyDescent="0.35">
      <c r="B20" s="52" t="s">
        <v>49</v>
      </c>
      <c r="C20" s="25" t="s">
        <v>227</v>
      </c>
      <c r="D20" s="25" t="s">
        <v>227</v>
      </c>
      <c r="E20" s="269">
        <v>0</v>
      </c>
      <c r="F20" s="26">
        <f>'Master List of Items'!E35</f>
        <v>2000</v>
      </c>
      <c r="G20" s="60">
        <f>E20*F20</f>
        <v>0</v>
      </c>
      <c r="I20" s="36" t="s">
        <v>224</v>
      </c>
    </row>
    <row r="21" spans="1:34" ht="28.5" customHeight="1" x14ac:dyDescent="0.35">
      <c r="B21" s="82" t="s">
        <v>83</v>
      </c>
      <c r="C21" s="87"/>
      <c r="D21" s="88"/>
      <c r="E21" s="89"/>
      <c r="F21" s="90"/>
      <c r="G21" s="83">
        <f>SUM(G16:G19)+SUM(G12:G14)</f>
        <v>0</v>
      </c>
      <c r="I21" s="131"/>
    </row>
    <row r="22" spans="1:34" ht="16" customHeight="1" x14ac:dyDescent="0.35">
      <c r="B22" s="28" t="s">
        <v>23</v>
      </c>
      <c r="C22" s="324" t="s">
        <v>101</v>
      </c>
      <c r="D22" s="324"/>
      <c r="E22" s="324"/>
      <c r="F22" s="100">
        <v>0.25</v>
      </c>
      <c r="G22" s="29">
        <f>G21*F22</f>
        <v>0</v>
      </c>
      <c r="I22" s="323" t="s">
        <v>174</v>
      </c>
      <c r="J22" s="323"/>
      <c r="K22" s="323"/>
      <c r="L22" s="323"/>
      <c r="M22" s="323"/>
    </row>
    <row r="23" spans="1:34" ht="28.5" customHeight="1" x14ac:dyDescent="0.35">
      <c r="B23" s="82" t="s">
        <v>82</v>
      </c>
      <c r="C23" s="102"/>
      <c r="D23" s="220"/>
      <c r="E23" s="85"/>
      <c r="F23" s="91"/>
      <c r="G23" s="83">
        <f>G21+G22</f>
        <v>0</v>
      </c>
      <c r="I23" s="36"/>
    </row>
    <row r="24" spans="1:34" ht="16" customHeight="1" x14ac:dyDescent="0.35">
      <c r="A24" s="2" t="s">
        <v>164</v>
      </c>
      <c r="B24" s="28" t="s">
        <v>84</v>
      </c>
      <c r="C24" s="324" t="s">
        <v>102</v>
      </c>
      <c r="D24" s="324"/>
      <c r="E24" s="324"/>
      <c r="F24" s="100">
        <v>0.25</v>
      </c>
      <c r="G24" s="29">
        <f>G23*F24</f>
        <v>0</v>
      </c>
      <c r="I24" s="36" t="s">
        <v>175</v>
      </c>
    </row>
    <row r="25" spans="1:34" s="4" customFormat="1" ht="28.5" customHeight="1" thickBot="1" x14ac:dyDescent="0.4">
      <c r="A25" s="2"/>
      <c r="B25" s="103" t="s">
        <v>103</v>
      </c>
      <c r="C25" s="104"/>
      <c r="D25" s="105"/>
      <c r="E25" s="106"/>
      <c r="F25" s="107"/>
      <c r="G25" s="101">
        <f>G23+G24</f>
        <v>0</v>
      </c>
      <c r="I25" s="36"/>
      <c r="J25" s="5"/>
      <c r="K25" s="5"/>
      <c r="L25" s="5"/>
      <c r="M25" s="5"/>
      <c r="N25" s="5"/>
      <c r="O25" s="5"/>
      <c r="P25" s="5"/>
      <c r="Q25" s="3"/>
      <c r="R25" s="5"/>
      <c r="S25" s="3"/>
      <c r="T25" s="5"/>
      <c r="U25" s="5"/>
      <c r="V25" s="5"/>
      <c r="W25" s="5"/>
      <c r="X25" s="5"/>
      <c r="Y25" s="5"/>
      <c r="Z25" s="5"/>
      <c r="AA25" s="5"/>
      <c r="AB25" s="5"/>
      <c r="AC25" s="6"/>
      <c r="AD25" s="1"/>
      <c r="AE25"/>
      <c r="AF25"/>
      <c r="AG25"/>
      <c r="AH25"/>
    </row>
    <row r="26" spans="1:34" s="4" customFormat="1" ht="16" customHeight="1" thickBot="1" x14ac:dyDescent="0.4">
      <c r="A26" s="2"/>
      <c r="B26" s="197" t="s">
        <v>24</v>
      </c>
      <c r="C26" s="288" t="s">
        <v>104</v>
      </c>
      <c r="D26" s="288"/>
      <c r="E26" s="288"/>
      <c r="F26" s="201">
        <v>0.2</v>
      </c>
      <c r="G26" s="202">
        <f>G25*F26</f>
        <v>0</v>
      </c>
      <c r="I26" s="36" t="s">
        <v>189</v>
      </c>
      <c r="J26" s="5"/>
      <c r="K26" s="5"/>
      <c r="L26" s="5"/>
      <c r="M26" s="5"/>
      <c r="N26" s="5"/>
      <c r="O26" s="5"/>
      <c r="P26" s="5"/>
      <c r="Q26" s="3"/>
      <c r="R26" s="5"/>
      <c r="S26" s="3"/>
      <c r="T26" s="5"/>
      <c r="U26" s="5"/>
      <c r="V26" s="5"/>
      <c r="W26" s="5"/>
      <c r="X26" s="5"/>
      <c r="Y26" s="5"/>
      <c r="Z26" s="5"/>
      <c r="AA26" s="5"/>
      <c r="AB26" s="5"/>
      <c r="AC26" s="6"/>
      <c r="AD26" s="1"/>
      <c r="AE26"/>
      <c r="AF26"/>
      <c r="AG26"/>
      <c r="AH26"/>
    </row>
    <row r="27" spans="1:34" s="4" customFormat="1" ht="30" customHeight="1" thickBot="1" x14ac:dyDescent="0.4">
      <c r="A27" s="2"/>
      <c r="B27" s="287" t="s">
        <v>105</v>
      </c>
      <c r="C27" s="275"/>
      <c r="D27" s="275"/>
      <c r="E27" s="120"/>
      <c r="F27" s="121"/>
      <c r="G27" s="122">
        <f>ROUND(SUM(G25:G26), -2)</f>
        <v>0</v>
      </c>
      <c r="I27" s="36"/>
      <c r="J27" s="5"/>
      <c r="K27" s="5"/>
      <c r="L27" s="5"/>
      <c r="M27" s="5"/>
      <c r="N27" s="5"/>
      <c r="O27" s="5"/>
      <c r="P27" s="5"/>
      <c r="Q27" s="3"/>
      <c r="R27" s="5"/>
      <c r="S27" s="3"/>
      <c r="T27" s="5"/>
      <c r="U27" s="5"/>
      <c r="V27" s="5"/>
      <c r="W27" s="5"/>
      <c r="X27" s="5"/>
      <c r="Y27" s="5"/>
      <c r="Z27" s="5"/>
      <c r="AA27" s="5"/>
      <c r="AB27" s="5"/>
      <c r="AC27" s="6"/>
      <c r="AD27" s="1"/>
      <c r="AE27"/>
      <c r="AF27"/>
      <c r="AG27"/>
      <c r="AH27"/>
    </row>
    <row r="28" spans="1:34" x14ac:dyDescent="0.35">
      <c r="G28" s="55"/>
    </row>
  </sheetData>
  <sheetProtection algorithmName="SHA-512" hashValue="GwDQUExATRppdhrDkrPAAxEZgTrcUXgcEK/4cqnmZ48Ibb2YEbwjwXU7z+25TC8WQb/iWY8HOzY7SwsrUsuA3g==" saltValue="knlQUyuiggMHRrEjBmXKIw==" spinCount="100000" sheet="1" objects="1" scenarios="1"/>
  <mergeCells count="5">
    <mergeCell ref="B2:G2"/>
    <mergeCell ref="B3:G3"/>
    <mergeCell ref="I22:M22"/>
    <mergeCell ref="C22:E22"/>
    <mergeCell ref="C24:E24"/>
  </mergeCells>
  <dataValidations xWindow="742" yWindow="702" count="6">
    <dataValidation allowBlank="1" showInputMessage="1" showErrorMessage="1" prompt="Shared lanes are roadways where bicycle traffic and motor vehicle traffic share the same travel lane. Shared lanes have no physical features which create a more inviting cycling experience and are not suitable for most people bicycling.  " sqref="B2" xr:uid="{E577A33E-28D9-43C4-ABAD-087DF180901D}"/>
    <dataValidation allowBlank="1" showInputMessage="1" showErrorMessage="1" prompt="To further improve LTS on shared lanes, see the BIKE BLVD tab for traffic calming features.  Shared lanes with an acceptable LTS must have very low traffic volumes (&lt;1000 ADT) and low motor vehicle operating speeds (&lt;25 mph)._x000a_" sqref="B3" xr:uid="{C66A68ED-E71D-4472-8C61-290CF007E7B8}"/>
    <dataValidation allowBlank="1" showInputMessage="1" showErrorMessage="1" promptTitle="Bike Lane Ahead" prompt="Enter additional quanities for this type of sign, if desired or required." sqref="E16" xr:uid="{3E77CE57-608C-4A61-88C6-2DCC878B2D5F}"/>
    <dataValidation allowBlank="1" showInputMessage="1" showErrorMessage="1" promptTitle="Bike Lane Ends" prompt="Enter additional quanities for this type of sign, if desired or required." sqref="E17" xr:uid="{871178FE-E0FD-4511-AD3A-06194FDDC8A4}"/>
    <dataValidation allowBlank="1" showInputMessage="1" showErrorMessage="1" promptTitle="Bikes May Use Full Lane" prompt="Enter additional quanities for this type of sign, if desired or required." sqref="E19" xr:uid="{27729404-8070-49AD-A0DF-7E73C23B0923}"/>
    <dataValidation type="list" allowBlank="1" showInputMessage="1" showErrorMessage="1" sqref="E6" xr:uid="{C22AFE26-1F6A-48C6-AF67-6E209ACC5A5A}">
      <formula1>"ONE, BOTH"</formula1>
    </dataValidation>
  </dataValidations>
  <pageMargins left="0.25" right="0.25" top="0.75" bottom="0.75" header="0.3" footer="0.3"/>
  <pageSetup paperSize="3" scale="3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EA4BD-C6D7-479E-A486-0D1D119891B3}">
  <sheetPr codeName="Sheet6">
    <pageSetUpPr fitToPage="1"/>
  </sheetPr>
  <dimension ref="A1:AH33"/>
  <sheetViews>
    <sheetView zoomScaleNormal="100" workbookViewId="0">
      <selection activeCell="C31" sqref="C31"/>
    </sheetView>
  </sheetViews>
  <sheetFormatPr defaultRowHeight="14.5" x14ac:dyDescent="0.35"/>
  <cols>
    <col min="1" max="1" width="8.6328125" style="2" customWidth="1"/>
    <col min="2" max="2" width="39.6328125" style="1" customWidth="1"/>
    <col min="3" max="3" width="12.6328125" style="4" customWidth="1"/>
    <col min="4" max="4" width="9.6328125" style="4" customWidth="1"/>
    <col min="5" max="7" width="12.6328125" style="3" customWidth="1"/>
    <col min="8" max="8" width="13.90625" style="4" customWidth="1"/>
    <col min="9" max="9" width="55.6328125" style="5" customWidth="1"/>
    <col min="10" max="10" width="12.6328125" style="5" customWidth="1"/>
    <col min="11" max="11" width="14" style="5" customWidth="1"/>
    <col min="12" max="16" width="12.6328125" style="5" customWidth="1"/>
    <col min="17" max="17" width="14.36328125" style="3" bestFit="1" customWidth="1"/>
    <col min="18" max="18" width="12.6328125" style="5" customWidth="1"/>
    <col min="19" max="19" width="10.6328125" style="3" customWidth="1"/>
    <col min="20" max="23" width="12.6328125" style="5" customWidth="1"/>
    <col min="24" max="24" width="14.36328125" style="5" customWidth="1"/>
    <col min="25" max="26" width="12.6328125" style="5" customWidth="1"/>
    <col min="27" max="27" width="15.36328125" style="5" customWidth="1"/>
    <col min="28" max="28" width="12.6328125" style="5" customWidth="1"/>
    <col min="29" max="29" width="12.6328125" style="6" customWidth="1"/>
    <col min="30" max="30" width="23" style="1" customWidth="1"/>
    <col min="32" max="32" width="9.6328125" bestFit="1" customWidth="1"/>
    <col min="33" max="33" width="11.6328125" bestFit="1" customWidth="1"/>
  </cols>
  <sheetData>
    <row r="1" spans="1:34" ht="15" thickBot="1" x14ac:dyDescent="0.4">
      <c r="A1" s="51"/>
      <c r="C1" s="2"/>
      <c r="H1" s="2"/>
      <c r="I1" s="116" t="s">
        <v>85</v>
      </c>
      <c r="J1" s="116"/>
      <c r="K1" s="116"/>
      <c r="L1" s="7"/>
      <c r="M1" s="7"/>
      <c r="N1" s="15"/>
      <c r="O1" s="7"/>
      <c r="P1" s="7"/>
      <c r="R1" s="7"/>
      <c r="T1" s="7"/>
      <c r="U1" s="7"/>
      <c r="V1" s="7"/>
      <c r="W1" s="7"/>
      <c r="X1" s="7"/>
      <c r="Y1" s="7"/>
      <c r="Z1" s="7"/>
      <c r="AA1" s="7"/>
      <c r="AB1" s="7"/>
      <c r="AC1" s="14"/>
      <c r="AD1" s="13"/>
      <c r="AF1" s="9"/>
      <c r="AG1" s="8"/>
    </row>
    <row r="2" spans="1:34" ht="48.25" customHeight="1" thickBot="1" x14ac:dyDescent="0.4">
      <c r="A2" s="10"/>
      <c r="B2" s="325" t="s">
        <v>106</v>
      </c>
      <c r="C2" s="326"/>
      <c r="D2" s="326"/>
      <c r="E2" s="326"/>
      <c r="F2" s="326"/>
      <c r="G2" s="327"/>
      <c r="H2" s="10"/>
      <c r="I2" s="276" t="s">
        <v>87</v>
      </c>
      <c r="J2" s="276"/>
      <c r="K2" s="276"/>
      <c r="L2" s="276"/>
    </row>
    <row r="3" spans="1:34" s="5" customFormat="1" ht="8.15" customHeight="1" thickBot="1" x14ac:dyDescent="0.4">
      <c r="A3" s="10"/>
      <c r="B3" s="328"/>
      <c r="C3" s="328"/>
      <c r="D3" s="328"/>
      <c r="E3" s="328"/>
      <c r="F3" s="328"/>
      <c r="G3" s="328"/>
      <c r="H3" s="10"/>
      <c r="Q3" s="3"/>
      <c r="S3" s="3"/>
      <c r="AC3" s="6"/>
      <c r="AD3" s="1"/>
      <c r="AE3"/>
      <c r="AF3"/>
      <c r="AG3"/>
      <c r="AH3"/>
    </row>
    <row r="4" spans="1:34" s="5" customFormat="1" ht="29" customHeight="1" x14ac:dyDescent="0.35">
      <c r="A4" s="10"/>
      <c r="B4" s="127" t="s">
        <v>88</v>
      </c>
      <c r="C4" s="123" t="s">
        <v>89</v>
      </c>
      <c r="D4" s="123"/>
      <c r="E4" s="94" t="s">
        <v>75</v>
      </c>
      <c r="F4" s="95"/>
      <c r="G4" s="81"/>
      <c r="H4" s="10"/>
      <c r="I4" s="329" t="s">
        <v>169</v>
      </c>
      <c r="J4" s="329"/>
      <c r="K4" s="329"/>
      <c r="L4" s="329"/>
      <c r="M4" s="329"/>
      <c r="Q4" s="3"/>
      <c r="S4" s="3"/>
      <c r="AC4" s="6"/>
      <c r="AD4" s="1"/>
      <c r="AE4"/>
      <c r="AF4"/>
      <c r="AG4"/>
      <c r="AH4"/>
    </row>
    <row r="5" spans="1:34" s="5" customFormat="1" ht="16" customHeight="1" x14ac:dyDescent="0.35">
      <c r="A5" s="10"/>
      <c r="B5" s="61" t="s">
        <v>76</v>
      </c>
      <c r="C5" s="62" t="s">
        <v>77</v>
      </c>
      <c r="E5" s="118">
        <v>0</v>
      </c>
      <c r="F5" s="62"/>
      <c r="G5" s="60"/>
      <c r="H5" s="10"/>
      <c r="I5" s="10" t="s">
        <v>90</v>
      </c>
      <c r="Q5" s="3"/>
      <c r="S5" s="3"/>
      <c r="AC5" s="6"/>
      <c r="AD5" s="1"/>
      <c r="AE5"/>
      <c r="AF5"/>
      <c r="AG5"/>
      <c r="AH5"/>
    </row>
    <row r="6" spans="1:34" s="5" customFormat="1" ht="29" x14ac:dyDescent="0.35">
      <c r="A6" s="10"/>
      <c r="B6" s="61" t="s">
        <v>107</v>
      </c>
      <c r="C6" s="62" t="s">
        <v>271</v>
      </c>
      <c r="D6" s="251"/>
      <c r="E6" s="268" t="s">
        <v>92</v>
      </c>
      <c r="F6" s="62"/>
      <c r="G6" s="60"/>
      <c r="H6" s="10"/>
      <c r="I6" s="10" t="s">
        <v>308</v>
      </c>
      <c r="Q6" s="3"/>
      <c r="S6" s="3"/>
      <c r="AC6" s="6"/>
      <c r="AD6" s="1"/>
      <c r="AE6"/>
      <c r="AF6"/>
      <c r="AG6"/>
      <c r="AH6"/>
    </row>
    <row r="7" spans="1:34" s="5" customFormat="1" ht="16" customHeight="1" x14ac:dyDescent="0.35">
      <c r="A7" s="10"/>
      <c r="B7" s="61" t="s">
        <v>76</v>
      </c>
      <c r="C7" s="62" t="s">
        <v>31</v>
      </c>
      <c r="E7" s="117">
        <f>IF(E6="ONE", E5*5280, E5*2*5280)</f>
        <v>0</v>
      </c>
      <c r="F7" s="62"/>
      <c r="G7" s="60"/>
      <c r="H7" s="10"/>
      <c r="I7" s="10" t="s">
        <v>93</v>
      </c>
      <c r="Q7" s="3"/>
      <c r="S7" s="3"/>
      <c r="AC7" s="6"/>
      <c r="AD7" s="1"/>
      <c r="AE7"/>
      <c r="AF7"/>
      <c r="AG7"/>
      <c r="AH7"/>
    </row>
    <row r="8" spans="1:34" s="5" customFormat="1" ht="16" customHeight="1" x14ac:dyDescent="0.35">
      <c r="A8" s="10"/>
      <c r="B8" s="22" t="s">
        <v>78</v>
      </c>
      <c r="C8" s="2" t="s">
        <v>28</v>
      </c>
      <c r="E8" s="118">
        <v>0</v>
      </c>
      <c r="F8" s="7"/>
      <c r="G8" s="60"/>
      <c r="H8" s="10"/>
      <c r="I8" s="10" t="s">
        <v>94</v>
      </c>
      <c r="Q8" s="3"/>
      <c r="S8" s="3"/>
      <c r="AC8" s="6"/>
      <c r="AD8" s="1"/>
      <c r="AE8"/>
      <c r="AF8"/>
      <c r="AG8"/>
      <c r="AH8"/>
    </row>
    <row r="9" spans="1:34" s="5" customFormat="1" ht="16" customHeight="1" x14ac:dyDescent="0.35">
      <c r="A9" s="10"/>
      <c r="B9" s="23" t="s">
        <v>79</v>
      </c>
      <c r="C9" s="34" t="s">
        <v>31</v>
      </c>
      <c r="E9" s="118">
        <v>0</v>
      </c>
      <c r="F9" s="7"/>
      <c r="G9" s="60"/>
      <c r="H9" s="10"/>
      <c r="I9" s="10" t="s">
        <v>108</v>
      </c>
      <c r="Q9" s="3"/>
      <c r="S9" s="3"/>
      <c r="AC9" s="6"/>
      <c r="AD9" s="1"/>
      <c r="AE9"/>
      <c r="AF9"/>
      <c r="AG9"/>
      <c r="AH9"/>
    </row>
    <row r="10" spans="1:34" s="5" customFormat="1" ht="16" customHeight="1" x14ac:dyDescent="0.35">
      <c r="A10" s="10"/>
      <c r="B10" s="23"/>
      <c r="C10" s="34"/>
      <c r="E10" s="63"/>
      <c r="F10" s="26"/>
      <c r="G10" s="60"/>
      <c r="H10" s="10"/>
      <c r="I10" s="10"/>
      <c r="Q10" s="3"/>
      <c r="S10" s="3"/>
      <c r="AC10" s="6"/>
      <c r="AD10" s="1"/>
      <c r="AE10"/>
      <c r="AF10"/>
      <c r="AG10"/>
      <c r="AH10"/>
    </row>
    <row r="11" spans="1:34" s="5" customFormat="1" ht="29" customHeight="1" x14ac:dyDescent="0.35">
      <c r="A11" s="10"/>
      <c r="B11" s="96" t="s">
        <v>25</v>
      </c>
      <c r="C11" s="97"/>
      <c r="D11" s="85"/>
      <c r="E11" s="97" t="s">
        <v>75</v>
      </c>
      <c r="F11" s="97" t="s">
        <v>97</v>
      </c>
      <c r="G11" s="218" t="s">
        <v>98</v>
      </c>
      <c r="H11" s="10"/>
      <c r="I11" s="10"/>
      <c r="J11" s="130"/>
      <c r="Q11" s="3"/>
      <c r="S11" s="3"/>
      <c r="AC11" s="6"/>
      <c r="AD11" s="1"/>
      <c r="AE11"/>
      <c r="AF11"/>
      <c r="AG11"/>
      <c r="AH11"/>
    </row>
    <row r="12" spans="1:34" s="5" customFormat="1" ht="16" customHeight="1" x14ac:dyDescent="0.35">
      <c r="A12" s="10"/>
      <c r="B12" s="23" t="s">
        <v>109</v>
      </c>
      <c r="C12" s="34" t="s">
        <v>28</v>
      </c>
      <c r="E12" s="63">
        <f>E7/(5280/4)+E8</f>
        <v>0</v>
      </c>
      <c r="F12" s="26">
        <f>'Master List of Items'!E19</f>
        <v>300</v>
      </c>
      <c r="G12" s="60">
        <f>F12*E12</f>
        <v>0</v>
      </c>
      <c r="H12" s="10"/>
      <c r="I12" s="10" t="s">
        <v>170</v>
      </c>
      <c r="Q12" s="3"/>
      <c r="S12" s="3"/>
      <c r="AC12" s="6"/>
      <c r="AD12" s="1"/>
      <c r="AE12"/>
      <c r="AF12"/>
      <c r="AG12"/>
      <c r="AH12"/>
    </row>
    <row r="13" spans="1:34" s="5" customFormat="1" ht="16" customHeight="1" x14ac:dyDescent="0.35">
      <c r="A13" s="10"/>
      <c r="B13" s="52" t="s">
        <v>30</v>
      </c>
      <c r="C13" s="34" t="s">
        <v>31</v>
      </c>
      <c r="E13" s="205">
        <f>(E7-E8*E9)*2</f>
        <v>0</v>
      </c>
      <c r="F13" s="26">
        <f>'Master List of Items'!E20</f>
        <v>5</v>
      </c>
      <c r="G13" s="60">
        <f t="shared" ref="G13:G15" si="0">F13*E13</f>
        <v>0</v>
      </c>
      <c r="H13" s="10"/>
      <c r="I13" s="10" t="s">
        <v>110</v>
      </c>
      <c r="Q13" s="3"/>
      <c r="S13" s="3"/>
      <c r="AC13" s="6"/>
      <c r="AD13" s="1"/>
      <c r="AE13"/>
      <c r="AF13"/>
      <c r="AG13"/>
      <c r="AH13"/>
    </row>
    <row r="14" spans="1:34" s="5" customFormat="1" ht="16" customHeight="1" x14ac:dyDescent="0.35">
      <c r="A14" s="10"/>
      <c r="B14" s="52" t="s">
        <v>34</v>
      </c>
      <c r="C14" s="34" t="s">
        <v>31</v>
      </c>
      <c r="D14" s="63"/>
      <c r="E14" s="118">
        <v>5</v>
      </c>
      <c r="F14" s="26">
        <f>'Master List of Items'!E22</f>
        <v>5</v>
      </c>
      <c r="G14" s="60">
        <f t="shared" si="0"/>
        <v>25</v>
      </c>
      <c r="H14" s="10"/>
      <c r="I14" s="10" t="s">
        <v>203</v>
      </c>
      <c r="Q14" s="3"/>
      <c r="S14" s="3"/>
      <c r="AC14" s="6"/>
      <c r="AD14" s="1"/>
      <c r="AE14"/>
      <c r="AF14"/>
      <c r="AG14"/>
      <c r="AH14"/>
    </row>
    <row r="15" spans="1:34" s="5" customFormat="1" ht="16" customHeight="1" x14ac:dyDescent="0.35">
      <c r="A15" s="10"/>
      <c r="B15" s="52" t="s">
        <v>81</v>
      </c>
      <c r="C15" s="34" t="s">
        <v>36</v>
      </c>
      <c r="D15" s="63"/>
      <c r="E15" s="63">
        <f>E8*(E9+10+10)*6</f>
        <v>0</v>
      </c>
      <c r="F15" s="26">
        <f>'Master List of Items'!E23</f>
        <v>20</v>
      </c>
      <c r="G15" s="60">
        <f t="shared" si="0"/>
        <v>0</v>
      </c>
      <c r="H15" s="10"/>
      <c r="I15" s="36" t="s">
        <v>111</v>
      </c>
      <c r="Q15" s="3"/>
      <c r="S15" s="3"/>
      <c r="AC15" s="6"/>
      <c r="AD15" s="1"/>
      <c r="AE15"/>
      <c r="AF15"/>
      <c r="AG15"/>
      <c r="AH15"/>
    </row>
    <row r="16" spans="1:34" s="5" customFormat="1" ht="29" customHeight="1" x14ac:dyDescent="0.35">
      <c r="A16" s="10"/>
      <c r="B16" s="96" t="s">
        <v>276</v>
      </c>
      <c r="C16" s="240"/>
      <c r="D16" s="98" t="s">
        <v>133</v>
      </c>
      <c r="E16" s="98" t="s">
        <v>278</v>
      </c>
      <c r="F16" s="241" t="s">
        <v>97</v>
      </c>
      <c r="G16" s="84" t="s">
        <v>98</v>
      </c>
      <c r="H16" s="10"/>
      <c r="I16" s="36"/>
      <c r="Q16" s="3"/>
      <c r="S16" s="3"/>
      <c r="AC16" s="6"/>
      <c r="AD16" s="1"/>
      <c r="AE16"/>
      <c r="AF16"/>
      <c r="AG16"/>
      <c r="AH16"/>
    </row>
    <row r="17" spans="1:34" s="5" customFormat="1" ht="29" customHeight="1" x14ac:dyDescent="0.35">
      <c r="A17" s="10"/>
      <c r="B17" s="136" t="s">
        <v>288</v>
      </c>
      <c r="C17" s="34" t="s">
        <v>277</v>
      </c>
      <c r="D17" s="118">
        <v>0</v>
      </c>
      <c r="E17" s="118">
        <v>0</v>
      </c>
      <c r="F17" s="26">
        <f>'Master List of Items'!E25</f>
        <v>6</v>
      </c>
      <c r="G17" s="60">
        <f>D17*E17/9*F17</f>
        <v>0</v>
      </c>
      <c r="H17" s="10"/>
      <c r="I17" s="330" t="s">
        <v>289</v>
      </c>
      <c r="J17" s="330"/>
      <c r="K17" s="330"/>
      <c r="L17" s="330"/>
      <c r="M17" s="330"/>
      <c r="N17" s="330"/>
      <c r="Q17" s="3"/>
      <c r="S17" s="3"/>
      <c r="AC17" s="6"/>
      <c r="AD17" s="1"/>
      <c r="AE17"/>
      <c r="AF17"/>
      <c r="AG17"/>
      <c r="AH17"/>
    </row>
    <row r="18" spans="1:34" s="5" customFormat="1" ht="29" customHeight="1" x14ac:dyDescent="0.35">
      <c r="A18" s="10"/>
      <c r="B18" s="242" t="s">
        <v>280</v>
      </c>
      <c r="C18" s="34" t="s">
        <v>277</v>
      </c>
      <c r="D18" s="118">
        <v>0</v>
      </c>
      <c r="E18" s="118">
        <v>0</v>
      </c>
      <c r="F18" s="26">
        <f>'Master List of Items'!E26</f>
        <v>5</v>
      </c>
      <c r="G18" s="60">
        <f>D18*E18/9*F18</f>
        <v>0</v>
      </c>
      <c r="H18" s="10"/>
      <c r="I18" s="330" t="s">
        <v>283</v>
      </c>
      <c r="J18" s="330"/>
      <c r="K18" s="330"/>
      <c r="L18" s="330"/>
      <c r="M18" s="330"/>
      <c r="N18" s="330"/>
      <c r="O18" s="37"/>
      <c r="Q18" s="3"/>
      <c r="S18" s="3"/>
      <c r="AC18" s="6"/>
      <c r="AD18" s="1"/>
      <c r="AE18"/>
      <c r="AF18"/>
      <c r="AG18"/>
      <c r="AH18"/>
    </row>
    <row r="19" spans="1:34" s="5" customFormat="1" ht="29" customHeight="1" x14ac:dyDescent="0.35">
      <c r="A19" s="10"/>
      <c r="B19" s="242" t="s">
        <v>281</v>
      </c>
      <c r="C19" s="34" t="s">
        <v>279</v>
      </c>
      <c r="D19" s="118">
        <v>0</v>
      </c>
      <c r="E19" s="118">
        <v>0</v>
      </c>
      <c r="F19" s="26">
        <f>'Master List of Items'!E27</f>
        <v>130</v>
      </c>
      <c r="G19" s="60">
        <f>(D19*E19/9)*1/17*F19</f>
        <v>0</v>
      </c>
      <c r="H19" s="10"/>
      <c r="I19" s="330" t="s">
        <v>282</v>
      </c>
      <c r="J19" s="330"/>
      <c r="K19" s="330"/>
      <c r="L19" s="330"/>
      <c r="M19" s="330"/>
      <c r="N19" s="330"/>
      <c r="O19" s="37"/>
      <c r="Q19" s="3"/>
      <c r="S19" s="3"/>
      <c r="AC19" s="6"/>
      <c r="AD19" s="1"/>
      <c r="AE19"/>
      <c r="AF19"/>
      <c r="AG19"/>
      <c r="AH19"/>
    </row>
    <row r="20" spans="1:34" ht="29" customHeight="1" x14ac:dyDescent="0.35">
      <c r="B20" s="96" t="s">
        <v>37</v>
      </c>
      <c r="C20" s="97" t="s">
        <v>226</v>
      </c>
      <c r="D20" s="98" t="s">
        <v>228</v>
      </c>
      <c r="E20" s="99" t="s">
        <v>75</v>
      </c>
      <c r="F20" s="97" t="s">
        <v>97</v>
      </c>
      <c r="G20" s="218" t="s">
        <v>98</v>
      </c>
      <c r="I20" s="36" t="s">
        <v>26</v>
      </c>
    </row>
    <row r="21" spans="1:34" ht="16" customHeight="1" x14ac:dyDescent="0.35">
      <c r="B21" s="52" t="s">
        <v>39</v>
      </c>
      <c r="C21" s="25" t="s">
        <v>40</v>
      </c>
      <c r="D21" s="20">
        <v>3</v>
      </c>
      <c r="E21" s="63">
        <f>E5*2+E8</f>
        <v>0</v>
      </c>
      <c r="F21" s="26">
        <f>'Master List of Items'!E29</f>
        <v>500</v>
      </c>
      <c r="G21" s="27">
        <f>E21*F21*D21</f>
        <v>0</v>
      </c>
      <c r="I21" s="36" t="s">
        <v>204</v>
      </c>
    </row>
    <row r="22" spans="1:34" ht="16" customHeight="1" x14ac:dyDescent="0.35">
      <c r="B22" s="52" t="s">
        <v>42</v>
      </c>
      <c r="C22" s="25" t="s">
        <v>43</v>
      </c>
      <c r="D22" s="33">
        <v>1.3</v>
      </c>
      <c r="E22" s="118">
        <v>0</v>
      </c>
      <c r="F22" s="26">
        <f>'Master List of Items'!E30</f>
        <v>500</v>
      </c>
      <c r="G22" s="60">
        <f t="shared" ref="G22:G25" si="1">E22*F22*D22</f>
        <v>0</v>
      </c>
      <c r="I22" s="36" t="s">
        <v>224</v>
      </c>
    </row>
    <row r="23" spans="1:34" ht="16" customHeight="1" x14ac:dyDescent="0.35">
      <c r="B23" s="52" t="s">
        <v>44</v>
      </c>
      <c r="C23" s="25" t="s">
        <v>43</v>
      </c>
      <c r="D23" s="33">
        <v>1.3</v>
      </c>
      <c r="E23" s="118">
        <v>0</v>
      </c>
      <c r="F23" s="26">
        <f>'Master List of Items'!E31</f>
        <v>500</v>
      </c>
      <c r="G23" s="60">
        <f t="shared" si="1"/>
        <v>0</v>
      </c>
      <c r="I23" s="36" t="s">
        <v>224</v>
      </c>
    </row>
    <row r="24" spans="1:34" ht="16" customHeight="1" x14ac:dyDescent="0.35">
      <c r="B24" s="52" t="s">
        <v>45</v>
      </c>
      <c r="C24" s="25" t="s">
        <v>46</v>
      </c>
      <c r="D24" s="33">
        <v>7.5</v>
      </c>
      <c r="E24" s="117">
        <f>IF(E6="ONE", E8, E8*2)</f>
        <v>0</v>
      </c>
      <c r="F24" s="26">
        <f>'Master List of Items'!E32</f>
        <v>500</v>
      </c>
      <c r="G24" s="60">
        <f>E24*F24*D24</f>
        <v>0</v>
      </c>
      <c r="I24" s="36" t="s">
        <v>225</v>
      </c>
    </row>
    <row r="25" spans="1:34" ht="16" customHeight="1" x14ac:dyDescent="0.35">
      <c r="B25" s="52" t="s">
        <v>47</v>
      </c>
      <c r="C25" s="25" t="s">
        <v>48</v>
      </c>
      <c r="D25" s="33">
        <v>6.25</v>
      </c>
      <c r="E25" s="119">
        <v>0</v>
      </c>
      <c r="F25" s="26">
        <f>'Master List of Items'!E33</f>
        <v>500</v>
      </c>
      <c r="G25" s="60">
        <f t="shared" si="1"/>
        <v>0</v>
      </c>
      <c r="I25" s="36" t="s">
        <v>224</v>
      </c>
    </row>
    <row r="26" spans="1:34" ht="29" customHeight="1" x14ac:dyDescent="0.35">
      <c r="B26" s="82" t="s">
        <v>83</v>
      </c>
      <c r="C26" s="87"/>
      <c r="D26" s="88"/>
      <c r="E26" s="89"/>
      <c r="F26" s="90"/>
      <c r="G26" s="83">
        <f>SUM(G21:G25)+SUM(G12:G15)</f>
        <v>25</v>
      </c>
      <c r="I26" s="36"/>
    </row>
    <row r="27" spans="1:34" ht="16" customHeight="1" x14ac:dyDescent="0.35">
      <c r="B27" s="28" t="s">
        <v>23</v>
      </c>
      <c r="C27" s="53" t="s">
        <v>101</v>
      </c>
      <c r="D27" s="15"/>
      <c r="E27" s="4"/>
      <c r="F27" s="207">
        <v>0.4</v>
      </c>
      <c r="G27" s="29">
        <f>F27*G26</f>
        <v>10</v>
      </c>
      <c r="I27" s="323" t="s">
        <v>196</v>
      </c>
      <c r="J27" s="323"/>
      <c r="K27" s="323"/>
      <c r="L27" s="323"/>
      <c r="M27" s="323"/>
      <c r="N27" s="323"/>
    </row>
    <row r="28" spans="1:34" ht="29" customHeight="1" x14ac:dyDescent="0.35">
      <c r="B28" s="82" t="s">
        <v>82</v>
      </c>
      <c r="C28" s="102" t="s">
        <v>26</v>
      </c>
      <c r="D28" s="102"/>
      <c r="E28" s="102"/>
      <c r="F28" s="91"/>
      <c r="G28" s="83">
        <f>G26+G27</f>
        <v>35</v>
      </c>
      <c r="I28" s="331"/>
      <c r="J28" s="331"/>
      <c r="K28" s="331"/>
      <c r="L28" s="331"/>
      <c r="M28" s="331"/>
    </row>
    <row r="29" spans="1:34" ht="16" customHeight="1" x14ac:dyDescent="0.35">
      <c r="B29" s="28" t="s">
        <v>84</v>
      </c>
      <c r="C29" s="53" t="s">
        <v>102</v>
      </c>
      <c r="D29" s="129"/>
      <c r="E29" s="6"/>
      <c r="F29" s="203">
        <v>0.25</v>
      </c>
      <c r="G29" s="29">
        <f>F29*G28</f>
        <v>8.75</v>
      </c>
      <c r="I29" s="36" t="s">
        <v>191</v>
      </c>
    </row>
    <row r="30" spans="1:34" ht="29" customHeight="1" x14ac:dyDescent="0.35">
      <c r="B30" s="82" t="s">
        <v>103</v>
      </c>
      <c r="C30" s="102" t="s">
        <v>26</v>
      </c>
      <c r="D30" s="102"/>
      <c r="E30" s="102"/>
      <c r="F30" s="91"/>
      <c r="G30" s="83">
        <f>G28+G29</f>
        <v>43.75</v>
      </c>
      <c r="I30" s="132" t="s">
        <v>26</v>
      </c>
    </row>
    <row r="31" spans="1:34" ht="16" customHeight="1" thickBot="1" x14ac:dyDescent="0.4">
      <c r="B31" s="28" t="s">
        <v>24</v>
      </c>
      <c r="C31" s="53" t="s">
        <v>104</v>
      </c>
      <c r="D31" s="19"/>
      <c r="E31" s="19"/>
      <c r="F31" s="100">
        <v>0.2</v>
      </c>
      <c r="G31" s="29">
        <f>F31*G30</f>
        <v>8.75</v>
      </c>
      <c r="I31" s="36" t="s">
        <v>189</v>
      </c>
    </row>
    <row r="32" spans="1:34" ht="29" customHeight="1" thickBot="1" x14ac:dyDescent="0.4">
      <c r="B32" s="287" t="s">
        <v>105</v>
      </c>
      <c r="C32" s="275"/>
      <c r="D32" s="275"/>
      <c r="E32" s="120"/>
      <c r="F32" s="121" t="s">
        <v>26</v>
      </c>
      <c r="G32" s="122">
        <f>ROUND(SUM(G30:G31), -2)</f>
        <v>100</v>
      </c>
      <c r="I32" s="36"/>
    </row>
    <row r="33" spans="7:7" x14ac:dyDescent="0.35">
      <c r="G33" s="55"/>
    </row>
  </sheetData>
  <sheetProtection algorithmName="SHA-512" hashValue="qx5svzUjPPBxljiFmIw27uYqf5hhzZdGt6RhFv1IQK6CmNPqUSF6DBeCxiV5fuVEzXp0TDiW2ncoKj9TkgTCeg==" saltValue="bmAFpMAcNaf4bNdsv4pruw==" spinCount="100000" sheet="1" objects="1" scenarios="1"/>
  <mergeCells count="8">
    <mergeCell ref="I28:M28"/>
    <mergeCell ref="B2:G2"/>
    <mergeCell ref="B3:G3"/>
    <mergeCell ref="I27:N27"/>
    <mergeCell ref="I4:M4"/>
    <mergeCell ref="I18:N18"/>
    <mergeCell ref="I19:N19"/>
    <mergeCell ref="I17:N17"/>
  </mergeCells>
  <dataValidations xWindow="744" yWindow="762" count="5">
    <dataValidation allowBlank="1" showInputMessage="1" showErrorMessage="1" promptTitle="Green pavement marking" prompt="Green pavement marking is used to highlight conflict zones through intersections.  For this quantity, green pavement is calculated for each intersection and 10' to both sides of the intersection._x000a_" sqref="E15:E16" xr:uid="{1F3753D5-868F-4BAE-956E-0E782784DD56}"/>
    <dataValidation allowBlank="1" showInputMessage="1" showErrorMessage="1" promptTitle="Bike Lane Ahead" prompt="Enter additional quanities for this type of sign, if desired or required." sqref="E22" xr:uid="{2F79759E-9E48-4B7A-9A83-3D594E59EE03}"/>
    <dataValidation allowBlank="1" showInputMessage="1" showErrorMessage="1" promptTitle="Bike Lane Ends" prompt="Enter additional quanities for this type of sign, if desired or required." sqref="E23" xr:uid="{704CF312-490F-459A-9189-7D96D032AD96}"/>
    <dataValidation allowBlank="1" showInputMessage="1" showErrorMessage="1" promptTitle="Bikes May Use Full Lane" prompt="Enter additional quanities for this type of sign, if desired or required." sqref="E25" xr:uid="{F7172405-C23B-46C9-94D6-D0012D5134E5}"/>
    <dataValidation type="list" allowBlank="1" showInputMessage="1" showErrorMessage="1" sqref="E6" xr:uid="{5F76F21C-D7D3-47B2-8643-95765426881C}">
      <formula1>"ONE, BOTH"</formula1>
    </dataValidation>
  </dataValidations>
  <pageMargins left="0.25" right="0.25" top="0.75" bottom="0.75" header="0.3" footer="0.3"/>
  <pageSetup paperSize="3" scale="3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128FD-A6E2-43E7-8EB4-D41E3B989E5C}">
  <sheetPr codeName="Sheet8">
    <pageSetUpPr fitToPage="1"/>
  </sheetPr>
  <dimension ref="A1:AH32"/>
  <sheetViews>
    <sheetView zoomScaleNormal="100" workbookViewId="0">
      <selection activeCell="C31" sqref="C31"/>
    </sheetView>
  </sheetViews>
  <sheetFormatPr defaultRowHeight="14.5" x14ac:dyDescent="0.35"/>
  <cols>
    <col min="1" max="1" width="8.6328125" style="2" customWidth="1"/>
    <col min="2" max="2" width="39.6328125" style="1" customWidth="1"/>
    <col min="3" max="3" width="12.6328125" style="4" customWidth="1"/>
    <col min="4" max="4" width="9.6328125" style="4" customWidth="1"/>
    <col min="5" max="7" width="12.6328125" style="3" customWidth="1"/>
    <col min="8" max="8" width="13.90625" style="4" customWidth="1"/>
    <col min="9" max="9" width="55.6328125" style="5" customWidth="1"/>
    <col min="10" max="10" width="12.6328125" style="5" customWidth="1"/>
    <col min="11" max="11" width="14" style="5" customWidth="1"/>
    <col min="12" max="16" width="12.6328125" style="5" customWidth="1"/>
    <col min="17" max="17" width="14.36328125" style="3" bestFit="1" customWidth="1"/>
    <col min="18" max="18" width="12.6328125" style="5" customWidth="1"/>
    <col min="19" max="19" width="10.6328125" style="3" customWidth="1"/>
    <col min="20" max="23" width="12.6328125" style="5" customWidth="1"/>
    <col min="24" max="24" width="14.36328125" style="5" customWidth="1"/>
    <col min="25" max="26" width="12.6328125" style="5" customWidth="1"/>
    <col min="27" max="27" width="15.36328125" style="5" customWidth="1"/>
    <col min="28" max="28" width="12.6328125" style="5" customWidth="1"/>
    <col min="29" max="29" width="12.6328125" style="6" customWidth="1"/>
    <col min="30" max="30" width="23" style="1" customWidth="1"/>
    <col min="32" max="32" width="9.6328125" bestFit="1" customWidth="1"/>
    <col min="33" max="33" width="11.6328125" bestFit="1" customWidth="1"/>
  </cols>
  <sheetData>
    <row r="1" spans="1:34" ht="15" thickBot="1" x14ac:dyDescent="0.4">
      <c r="A1" s="51"/>
      <c r="C1" s="2"/>
      <c r="G1" s="56"/>
      <c r="H1" s="2"/>
      <c r="I1" s="116" t="s">
        <v>85</v>
      </c>
      <c r="J1" s="116"/>
      <c r="K1" s="116"/>
      <c r="L1" s="7"/>
      <c r="M1" s="7"/>
      <c r="N1" s="15"/>
      <c r="O1" s="7"/>
      <c r="P1" s="7"/>
      <c r="R1" s="7"/>
      <c r="T1" s="7"/>
      <c r="U1" s="7"/>
      <c r="V1" s="7"/>
      <c r="W1" s="7"/>
      <c r="X1" s="7"/>
      <c r="Y1" s="7"/>
      <c r="Z1" s="7"/>
      <c r="AA1" s="7"/>
      <c r="AB1" s="7"/>
      <c r="AC1" s="14"/>
      <c r="AD1" s="13"/>
      <c r="AF1" s="9"/>
      <c r="AG1" s="8"/>
    </row>
    <row r="2" spans="1:34" ht="48.25" customHeight="1" thickBot="1" x14ac:dyDescent="0.4">
      <c r="A2" s="10"/>
      <c r="B2" s="325" t="s">
        <v>112</v>
      </c>
      <c r="C2" s="326"/>
      <c r="D2" s="326"/>
      <c r="E2" s="326"/>
      <c r="F2" s="326"/>
      <c r="G2" s="327"/>
      <c r="H2" s="10"/>
      <c r="I2" s="276" t="s">
        <v>87</v>
      </c>
      <c r="J2" s="276"/>
      <c r="K2" s="276"/>
      <c r="L2" s="276"/>
    </row>
    <row r="3" spans="1:34" s="5" customFormat="1" ht="8.15" customHeight="1" thickBot="1" x14ac:dyDescent="0.4">
      <c r="A3" s="10"/>
      <c r="B3" s="328" t="s">
        <v>26</v>
      </c>
      <c r="C3" s="328"/>
      <c r="D3" s="328"/>
      <c r="E3" s="328"/>
      <c r="F3" s="328"/>
      <c r="G3" s="328"/>
      <c r="H3" s="10"/>
      <c r="Q3" s="3"/>
      <c r="S3" s="3"/>
      <c r="AC3" s="6"/>
      <c r="AD3" s="1"/>
      <c r="AE3"/>
      <c r="AF3"/>
      <c r="AG3"/>
      <c r="AH3"/>
    </row>
    <row r="4" spans="1:34" s="5" customFormat="1" ht="29" customHeight="1" x14ac:dyDescent="0.35">
      <c r="A4" s="10"/>
      <c r="B4" s="92" t="s">
        <v>88</v>
      </c>
      <c r="C4" s="93" t="s">
        <v>89</v>
      </c>
      <c r="D4" s="93"/>
      <c r="E4" s="94" t="s">
        <v>75</v>
      </c>
      <c r="F4" s="135"/>
      <c r="G4" s="81"/>
      <c r="H4" s="10"/>
      <c r="I4" s="329" t="s">
        <v>169</v>
      </c>
      <c r="J4" s="329"/>
      <c r="K4" s="329"/>
      <c r="L4" s="329"/>
      <c r="M4" s="329"/>
      <c r="Q4" s="3"/>
      <c r="S4" s="3"/>
      <c r="AC4" s="6"/>
      <c r="AD4" s="1"/>
      <c r="AE4"/>
      <c r="AF4"/>
      <c r="AG4"/>
      <c r="AH4"/>
    </row>
    <row r="5" spans="1:34" s="5" customFormat="1" ht="16" customHeight="1" x14ac:dyDescent="0.35">
      <c r="A5" s="10"/>
      <c r="B5" s="61" t="s">
        <v>76</v>
      </c>
      <c r="C5" s="62" t="s">
        <v>77</v>
      </c>
      <c r="E5" s="118">
        <v>0</v>
      </c>
      <c r="F5" s="17"/>
      <c r="G5" s="21"/>
      <c r="H5" s="10"/>
      <c r="I5" s="10" t="s">
        <v>90</v>
      </c>
      <c r="Q5" s="3"/>
      <c r="S5" s="3"/>
      <c r="AC5" s="6"/>
      <c r="AD5" s="1"/>
      <c r="AE5"/>
      <c r="AF5"/>
      <c r="AG5"/>
      <c r="AH5"/>
    </row>
    <row r="6" spans="1:34" s="5" customFormat="1" ht="29" x14ac:dyDescent="0.35">
      <c r="A6" s="10"/>
      <c r="B6" s="61" t="s">
        <v>107</v>
      </c>
      <c r="C6" s="62" t="s">
        <v>271</v>
      </c>
      <c r="D6" s="251"/>
      <c r="E6" s="268" t="s">
        <v>92</v>
      </c>
      <c r="F6" s="17"/>
      <c r="G6" s="21"/>
      <c r="I6" s="10" t="s">
        <v>307</v>
      </c>
      <c r="Q6" s="3"/>
      <c r="S6" s="3"/>
      <c r="AC6" s="6"/>
      <c r="AD6" s="1"/>
      <c r="AE6"/>
      <c r="AF6"/>
      <c r="AG6"/>
      <c r="AH6"/>
    </row>
    <row r="7" spans="1:34" s="5" customFormat="1" ht="16" customHeight="1" x14ac:dyDescent="0.35">
      <c r="A7" s="10"/>
      <c r="B7" s="61" t="s">
        <v>76</v>
      </c>
      <c r="C7" s="62" t="s">
        <v>31</v>
      </c>
      <c r="E7" s="117">
        <f>IF(E6="ONE", E5*5280, E5*2*5280)</f>
        <v>0</v>
      </c>
      <c r="F7" s="17"/>
      <c r="G7" s="21"/>
      <c r="H7" s="10"/>
      <c r="I7" s="10" t="s">
        <v>93</v>
      </c>
      <c r="Q7" s="3"/>
      <c r="S7" s="3"/>
      <c r="AC7" s="6"/>
      <c r="AD7" s="1"/>
      <c r="AE7"/>
      <c r="AF7"/>
      <c r="AG7"/>
      <c r="AH7"/>
    </row>
    <row r="8" spans="1:34" s="5" customFormat="1" ht="16" customHeight="1" x14ac:dyDescent="0.35">
      <c r="A8" s="10"/>
      <c r="B8" s="22" t="s">
        <v>78</v>
      </c>
      <c r="C8" s="2" t="s">
        <v>28</v>
      </c>
      <c r="E8" s="134">
        <v>0</v>
      </c>
      <c r="F8" s="17"/>
      <c r="G8" s="21"/>
      <c r="H8" s="10"/>
      <c r="I8" s="10" t="s">
        <v>94</v>
      </c>
      <c r="Q8" s="3"/>
      <c r="S8" s="3"/>
      <c r="AC8" s="6"/>
      <c r="AD8" s="1"/>
      <c r="AE8"/>
      <c r="AF8"/>
      <c r="AG8"/>
      <c r="AH8"/>
    </row>
    <row r="9" spans="1:34" s="5" customFormat="1" ht="16" customHeight="1" x14ac:dyDescent="0.35">
      <c r="A9" s="10"/>
      <c r="B9" s="23" t="s">
        <v>79</v>
      </c>
      <c r="C9" s="34" t="s">
        <v>31</v>
      </c>
      <c r="E9" s="134">
        <v>0</v>
      </c>
      <c r="F9" s="17"/>
      <c r="G9" s="21"/>
      <c r="H9" s="10"/>
      <c r="I9" s="10" t="s">
        <v>108</v>
      </c>
      <c r="Q9" s="3"/>
      <c r="S9" s="3"/>
      <c r="AC9" s="6"/>
      <c r="AD9" s="1"/>
      <c r="AE9"/>
      <c r="AF9"/>
      <c r="AG9"/>
      <c r="AH9"/>
    </row>
    <row r="10" spans="1:34" s="5" customFormat="1" ht="16" customHeight="1" x14ac:dyDescent="0.35">
      <c r="A10" s="10"/>
      <c r="B10" s="23"/>
      <c r="C10" s="34"/>
      <c r="E10" s="20"/>
      <c r="F10" s="17"/>
      <c r="G10" s="21"/>
      <c r="H10" s="10"/>
      <c r="Q10" s="3"/>
      <c r="S10" s="3"/>
      <c r="AC10" s="6"/>
      <c r="AD10" s="1"/>
      <c r="AE10"/>
      <c r="AF10"/>
      <c r="AG10"/>
      <c r="AH10"/>
    </row>
    <row r="11" spans="1:34" s="5" customFormat="1" ht="29" customHeight="1" x14ac:dyDescent="0.35">
      <c r="A11" s="10"/>
      <c r="B11" s="96" t="s">
        <v>25</v>
      </c>
      <c r="C11" s="97"/>
      <c r="D11" s="85"/>
      <c r="E11" s="97" t="s">
        <v>75</v>
      </c>
      <c r="F11" s="97" t="s">
        <v>97</v>
      </c>
      <c r="G11" s="218" t="s">
        <v>98</v>
      </c>
      <c r="H11" s="10"/>
      <c r="I11" s="10"/>
      <c r="J11" s="130"/>
      <c r="Q11" s="3"/>
      <c r="S11" s="3"/>
      <c r="AC11" s="6"/>
      <c r="AD11" s="1"/>
      <c r="AE11"/>
      <c r="AF11"/>
      <c r="AG11"/>
      <c r="AH11"/>
    </row>
    <row r="12" spans="1:34" s="5" customFormat="1" ht="16" customHeight="1" x14ac:dyDescent="0.35">
      <c r="A12" s="10"/>
      <c r="B12" s="23" t="s">
        <v>29</v>
      </c>
      <c r="C12" s="34" t="s">
        <v>28</v>
      </c>
      <c r="E12" s="63">
        <f>E7/(5280/4)+E8</f>
        <v>0</v>
      </c>
      <c r="F12" s="190">
        <f>'Master List of Items'!E19</f>
        <v>300</v>
      </c>
      <c r="G12" s="60">
        <f>F12*E12</f>
        <v>0</v>
      </c>
      <c r="H12" s="10"/>
      <c r="I12" s="10" t="s">
        <v>170</v>
      </c>
      <c r="Q12" s="3"/>
      <c r="S12" s="3"/>
      <c r="AC12" s="6"/>
      <c r="AD12" s="1"/>
      <c r="AE12"/>
      <c r="AF12"/>
      <c r="AG12"/>
      <c r="AH12"/>
    </row>
    <row r="13" spans="1:34" s="5" customFormat="1" ht="16" customHeight="1" x14ac:dyDescent="0.35">
      <c r="A13" s="10"/>
      <c r="B13" s="23" t="s">
        <v>30</v>
      </c>
      <c r="C13" s="34" t="s">
        <v>31</v>
      </c>
      <c r="E13" s="108">
        <f>(E7-E8*E9)*2</f>
        <v>0</v>
      </c>
      <c r="F13" s="190">
        <f>'Master List of Items'!E20</f>
        <v>5</v>
      </c>
      <c r="G13" s="60">
        <f t="shared" ref="G13:G15" si="0">F13*E13</f>
        <v>0</v>
      </c>
      <c r="H13" s="10"/>
      <c r="I13" s="10" t="s">
        <v>110</v>
      </c>
      <c r="Q13" s="3"/>
      <c r="S13" s="3"/>
      <c r="AC13" s="6"/>
      <c r="AD13" s="1"/>
      <c r="AE13"/>
      <c r="AF13"/>
      <c r="AG13"/>
      <c r="AH13"/>
    </row>
    <row r="14" spans="1:34" s="5" customFormat="1" ht="16" customHeight="1" x14ac:dyDescent="0.35">
      <c r="A14" s="10"/>
      <c r="B14" s="23" t="s">
        <v>34</v>
      </c>
      <c r="C14" s="34" t="s">
        <v>31</v>
      </c>
      <c r="D14" s="20"/>
      <c r="E14" s="134">
        <v>0</v>
      </c>
      <c r="F14" s="190">
        <f>'Master List of Items'!E22</f>
        <v>5</v>
      </c>
      <c r="G14" s="60">
        <f t="shared" si="0"/>
        <v>0</v>
      </c>
      <c r="H14" s="10"/>
      <c r="I14" s="10" t="s">
        <v>203</v>
      </c>
      <c r="Q14" s="3"/>
      <c r="S14" s="3"/>
      <c r="AC14" s="6"/>
      <c r="AD14" s="1"/>
      <c r="AE14"/>
      <c r="AF14"/>
      <c r="AG14"/>
      <c r="AH14"/>
    </row>
    <row r="15" spans="1:34" s="5" customFormat="1" ht="16" customHeight="1" x14ac:dyDescent="0.35">
      <c r="A15" s="10"/>
      <c r="B15" s="23" t="s">
        <v>81</v>
      </c>
      <c r="C15" s="34" t="s">
        <v>36</v>
      </c>
      <c r="D15" s="20"/>
      <c r="E15" s="63">
        <f>E8*(E9+10+10)*6</f>
        <v>0</v>
      </c>
      <c r="F15" s="190">
        <f>'Master List of Items'!E23</f>
        <v>20</v>
      </c>
      <c r="G15" s="60">
        <f t="shared" si="0"/>
        <v>0</v>
      </c>
      <c r="H15" s="10"/>
      <c r="I15" s="36" t="s">
        <v>111</v>
      </c>
      <c r="Q15" s="3"/>
      <c r="S15" s="3"/>
      <c r="AC15" s="6"/>
      <c r="AD15" s="1"/>
      <c r="AE15"/>
      <c r="AF15"/>
      <c r="AG15"/>
      <c r="AH15"/>
    </row>
    <row r="16" spans="1:34" s="5" customFormat="1" ht="29" customHeight="1" x14ac:dyDescent="0.35">
      <c r="A16" s="10"/>
      <c r="B16" s="96" t="s">
        <v>276</v>
      </c>
      <c r="C16" s="240"/>
      <c r="D16" s="98" t="s">
        <v>133</v>
      </c>
      <c r="E16" s="98" t="s">
        <v>278</v>
      </c>
      <c r="F16" s="241" t="s">
        <v>97</v>
      </c>
      <c r="G16" s="84" t="s">
        <v>98</v>
      </c>
      <c r="H16" s="10"/>
      <c r="I16" s="36"/>
      <c r="Q16" s="3"/>
      <c r="S16" s="3"/>
      <c r="AC16" s="6"/>
      <c r="AD16" s="1"/>
      <c r="AE16"/>
      <c r="AF16"/>
      <c r="AG16"/>
      <c r="AH16"/>
    </row>
    <row r="17" spans="1:34" s="5" customFormat="1" ht="29" customHeight="1" x14ac:dyDescent="0.35">
      <c r="A17" s="10"/>
      <c r="B17" s="136" t="s">
        <v>288</v>
      </c>
      <c r="C17" s="34" t="s">
        <v>277</v>
      </c>
      <c r="D17" s="118">
        <v>0</v>
      </c>
      <c r="E17" s="118">
        <v>0</v>
      </c>
      <c r="F17" s="26">
        <f>'Master List of Items'!E25</f>
        <v>6</v>
      </c>
      <c r="G17" s="60">
        <f>D17*E17/9*F17</f>
        <v>0</v>
      </c>
      <c r="H17" s="10"/>
      <c r="I17" s="330" t="s">
        <v>289</v>
      </c>
      <c r="J17" s="330"/>
      <c r="K17" s="330"/>
      <c r="L17" s="330"/>
      <c r="M17" s="330"/>
      <c r="N17" s="330"/>
      <c r="Q17" s="3"/>
      <c r="S17" s="3"/>
      <c r="AC17" s="6"/>
      <c r="AD17" s="1"/>
      <c r="AE17"/>
      <c r="AF17"/>
      <c r="AG17"/>
      <c r="AH17"/>
    </row>
    <row r="18" spans="1:34" s="5" customFormat="1" ht="29" customHeight="1" x14ac:dyDescent="0.35">
      <c r="A18" s="10"/>
      <c r="B18" s="242" t="s">
        <v>280</v>
      </c>
      <c r="C18" s="34" t="s">
        <v>277</v>
      </c>
      <c r="D18" s="118">
        <v>0</v>
      </c>
      <c r="E18" s="118">
        <v>0</v>
      </c>
      <c r="F18" s="26">
        <f>'Master List of Items'!E26</f>
        <v>5</v>
      </c>
      <c r="G18" s="60">
        <f>D18*E18/9*F18</f>
        <v>0</v>
      </c>
      <c r="H18" s="10"/>
      <c r="I18" s="330" t="s">
        <v>283</v>
      </c>
      <c r="J18" s="330"/>
      <c r="K18" s="330"/>
      <c r="L18" s="330"/>
      <c r="M18" s="330"/>
      <c r="N18" s="330"/>
      <c r="O18" s="37"/>
      <c r="Q18" s="3"/>
      <c r="S18" s="3"/>
      <c r="AC18" s="6"/>
      <c r="AD18" s="1"/>
      <c r="AE18"/>
      <c r="AF18"/>
      <c r="AG18"/>
      <c r="AH18"/>
    </row>
    <row r="19" spans="1:34" s="5" customFormat="1" ht="29" customHeight="1" x14ac:dyDescent="0.35">
      <c r="A19" s="10"/>
      <c r="B19" s="242" t="s">
        <v>281</v>
      </c>
      <c r="C19" s="34" t="s">
        <v>279</v>
      </c>
      <c r="D19" s="118">
        <v>0</v>
      </c>
      <c r="E19" s="118">
        <v>0</v>
      </c>
      <c r="F19" s="26">
        <f>'Master List of Items'!E27</f>
        <v>130</v>
      </c>
      <c r="G19" s="60">
        <f>(D19*E19/9)*1/17*F19</f>
        <v>0</v>
      </c>
      <c r="H19" s="10"/>
      <c r="I19" s="330" t="s">
        <v>282</v>
      </c>
      <c r="J19" s="330"/>
      <c r="K19" s="330"/>
      <c r="L19" s="330"/>
      <c r="M19" s="330"/>
      <c r="N19" s="330"/>
      <c r="O19" s="37"/>
      <c r="Q19" s="3"/>
      <c r="S19" s="3"/>
      <c r="AC19" s="6"/>
      <c r="AD19" s="1"/>
      <c r="AE19"/>
      <c r="AF19"/>
      <c r="AG19"/>
      <c r="AH19"/>
    </row>
    <row r="20" spans="1:34" ht="29" customHeight="1" x14ac:dyDescent="0.35">
      <c r="B20" s="96" t="s">
        <v>37</v>
      </c>
      <c r="C20" s="97" t="s">
        <v>226</v>
      </c>
      <c r="D20" s="98" t="s">
        <v>228</v>
      </c>
      <c r="E20" s="99" t="s">
        <v>75</v>
      </c>
      <c r="F20" s="97" t="s">
        <v>97</v>
      </c>
      <c r="G20" s="218" t="s">
        <v>98</v>
      </c>
      <c r="I20" s="208" t="s">
        <v>202</v>
      </c>
    </row>
    <row r="21" spans="1:34" ht="16" customHeight="1" x14ac:dyDescent="0.35">
      <c r="B21" s="52" t="s">
        <v>39</v>
      </c>
      <c r="C21" s="25" t="s">
        <v>40</v>
      </c>
      <c r="D21" s="20">
        <v>3</v>
      </c>
      <c r="E21" s="63">
        <f>E5*2+E8</f>
        <v>0</v>
      </c>
      <c r="F21" s="26">
        <f>'Master List of Items'!E29</f>
        <v>500</v>
      </c>
      <c r="G21" s="27">
        <f>E21*F21*D21</f>
        <v>0</v>
      </c>
      <c r="I21" s="36" t="s">
        <v>204</v>
      </c>
    </row>
    <row r="22" spans="1:34" ht="16" customHeight="1" x14ac:dyDescent="0.35">
      <c r="B22" s="52" t="s">
        <v>42</v>
      </c>
      <c r="C22" s="25" t="s">
        <v>43</v>
      </c>
      <c r="D22" s="33">
        <v>1.3</v>
      </c>
      <c r="E22" s="118">
        <v>0</v>
      </c>
      <c r="F22" s="26">
        <f>'Master List of Items'!E30</f>
        <v>500</v>
      </c>
      <c r="G22" s="60">
        <f t="shared" ref="G22:G25" si="1">E22*F22*D22</f>
        <v>0</v>
      </c>
      <c r="I22" s="36" t="s">
        <v>224</v>
      </c>
    </row>
    <row r="23" spans="1:34" ht="16" customHeight="1" x14ac:dyDescent="0.35">
      <c r="B23" s="52" t="s">
        <v>44</v>
      </c>
      <c r="C23" s="25" t="s">
        <v>43</v>
      </c>
      <c r="D23" s="33">
        <v>1.3</v>
      </c>
      <c r="E23" s="118">
        <v>0</v>
      </c>
      <c r="F23" s="26">
        <f>'Master List of Items'!E31</f>
        <v>500</v>
      </c>
      <c r="G23" s="60">
        <f t="shared" si="1"/>
        <v>0</v>
      </c>
      <c r="I23" s="36" t="s">
        <v>224</v>
      </c>
    </row>
    <row r="24" spans="1:34" ht="16" customHeight="1" x14ac:dyDescent="0.35">
      <c r="B24" s="52" t="s">
        <v>45</v>
      </c>
      <c r="C24" s="25" t="s">
        <v>46</v>
      </c>
      <c r="D24" s="33">
        <v>7.5</v>
      </c>
      <c r="E24" s="117">
        <f>IF(E6="ONE", E8, E8*2)</f>
        <v>0</v>
      </c>
      <c r="F24" s="26">
        <f>'Master List of Items'!E32</f>
        <v>500</v>
      </c>
      <c r="G24" s="60">
        <f>E24*F24*D24</f>
        <v>0</v>
      </c>
      <c r="I24" s="36" t="s">
        <v>225</v>
      </c>
    </row>
    <row r="25" spans="1:34" ht="16" customHeight="1" x14ac:dyDescent="0.35">
      <c r="B25" s="52" t="s">
        <v>47</v>
      </c>
      <c r="C25" s="25" t="s">
        <v>48</v>
      </c>
      <c r="D25" s="33">
        <v>6.25</v>
      </c>
      <c r="E25" s="119">
        <v>0</v>
      </c>
      <c r="F25" s="26">
        <f>'Master List of Items'!E33</f>
        <v>500</v>
      </c>
      <c r="G25" s="60">
        <f t="shared" si="1"/>
        <v>0</v>
      </c>
      <c r="I25" s="36" t="s">
        <v>224</v>
      </c>
    </row>
    <row r="26" spans="1:34" ht="29" customHeight="1" x14ac:dyDescent="0.35">
      <c r="B26" s="82" t="s">
        <v>83</v>
      </c>
      <c r="C26" s="87"/>
      <c r="D26" s="88"/>
      <c r="E26" s="89"/>
      <c r="F26" s="90"/>
      <c r="G26" s="83">
        <f>SUM(G21:G25)+SUM(G12:G15)</f>
        <v>0</v>
      </c>
      <c r="I26" s="36"/>
    </row>
    <row r="27" spans="1:34" ht="16" customHeight="1" x14ac:dyDescent="0.35">
      <c r="B27" s="28" t="s">
        <v>23</v>
      </c>
      <c r="C27" s="53" t="s">
        <v>101</v>
      </c>
      <c r="D27" s="15"/>
      <c r="E27" s="4"/>
      <c r="F27" s="207">
        <v>0.4</v>
      </c>
      <c r="G27" s="29">
        <f>F27*G26</f>
        <v>0</v>
      </c>
      <c r="I27" s="323" t="s">
        <v>196</v>
      </c>
      <c r="J27" s="323"/>
      <c r="K27" s="323"/>
      <c r="L27" s="323"/>
      <c r="M27" s="323"/>
      <c r="N27" s="323"/>
    </row>
    <row r="28" spans="1:34" ht="29" customHeight="1" x14ac:dyDescent="0.35">
      <c r="B28" s="82" t="s">
        <v>82</v>
      </c>
      <c r="C28" s="102" t="s">
        <v>26</v>
      </c>
      <c r="D28" s="102"/>
      <c r="E28" s="102"/>
      <c r="F28" s="91"/>
      <c r="G28" s="83">
        <f>G26+G27</f>
        <v>0</v>
      </c>
      <c r="I28" s="331"/>
      <c r="J28" s="331"/>
      <c r="K28" s="331"/>
      <c r="L28" s="331"/>
      <c r="M28" s="331"/>
    </row>
    <row r="29" spans="1:34" ht="16" customHeight="1" x14ac:dyDescent="0.35">
      <c r="B29" s="28" t="s">
        <v>84</v>
      </c>
      <c r="C29" s="53" t="s">
        <v>102</v>
      </c>
      <c r="D29" s="129"/>
      <c r="E29" s="6"/>
      <c r="F29" s="203">
        <v>0.25</v>
      </c>
      <c r="G29" s="29">
        <f>F29*G28</f>
        <v>0</v>
      </c>
      <c r="I29" s="36" t="s">
        <v>191</v>
      </c>
    </row>
    <row r="30" spans="1:34" ht="29" customHeight="1" x14ac:dyDescent="0.35">
      <c r="B30" s="82" t="s">
        <v>103</v>
      </c>
      <c r="C30" s="102" t="s">
        <v>26</v>
      </c>
      <c r="D30" s="102"/>
      <c r="E30" s="102"/>
      <c r="F30" s="91"/>
      <c r="G30" s="83">
        <f>G28+G29</f>
        <v>0</v>
      </c>
      <c r="I30" s="132" t="s">
        <v>26</v>
      </c>
    </row>
    <row r="31" spans="1:34" ht="16" customHeight="1" thickBot="1" x14ac:dyDescent="0.4">
      <c r="B31" s="28" t="s">
        <v>24</v>
      </c>
      <c r="C31" s="53" t="s">
        <v>104</v>
      </c>
      <c r="D31" s="19"/>
      <c r="E31" s="19"/>
      <c r="F31" s="100">
        <v>0.2</v>
      </c>
      <c r="G31" s="29">
        <f>F31*G30</f>
        <v>0</v>
      </c>
      <c r="I31" s="36" t="s">
        <v>189</v>
      </c>
    </row>
    <row r="32" spans="1:34" ht="29" customHeight="1" thickBot="1" x14ac:dyDescent="0.4">
      <c r="B32" s="287" t="s">
        <v>105</v>
      </c>
      <c r="C32" s="275"/>
      <c r="D32" s="275"/>
      <c r="E32" s="120"/>
      <c r="F32" s="121" t="s">
        <v>26</v>
      </c>
      <c r="G32" s="122">
        <f>ROUND(SUM(G30:G31), -2)</f>
        <v>0</v>
      </c>
      <c r="I32" s="36"/>
    </row>
  </sheetData>
  <sheetProtection algorithmName="SHA-512" hashValue="clRXq/efj6ZQ+ceFRD2MfIEYA7TsxJdJ277vRQL0IjZtc9tESme5nkpWFHRmmy2BJy0cU+7ect1E17MGFPEROg==" saltValue="0RYoLRQXJKhsd7+sRERkcw==" spinCount="100000" sheet="1" objects="1" scenarios="1"/>
  <mergeCells count="8">
    <mergeCell ref="I28:M28"/>
    <mergeCell ref="B2:G2"/>
    <mergeCell ref="B3:G3"/>
    <mergeCell ref="I27:N27"/>
    <mergeCell ref="I17:N17"/>
    <mergeCell ref="I18:N18"/>
    <mergeCell ref="I19:N19"/>
    <mergeCell ref="I4:M4"/>
  </mergeCells>
  <dataValidations disablePrompts="1" count="5">
    <dataValidation allowBlank="1" showInputMessage="1" showErrorMessage="1" promptTitle="Bike Lane Ahead" prompt="Enter additional quanities for this type of sign, if desired or required." sqref="E22" xr:uid="{1B4C5A4C-6CBF-4923-AABE-832F6E2E7805}"/>
    <dataValidation allowBlank="1" showInputMessage="1" showErrorMessage="1" promptTitle="Bikes May Use Full Lane" prompt="Enter additional quanities for this type of sign, if desired or required." sqref="E25" xr:uid="{4B9E3A13-70FB-48CE-B99F-EC3A3F8D73B0}"/>
    <dataValidation allowBlank="1" showInputMessage="1" showErrorMessage="1" promptTitle="Green pavement marking" prompt="Green pavement marking is used to highlight conflict zones through intersections.  For this quantity, green pavement is calculated for each intersection and 10' to both sides of the intersection._x000a_" sqref="E15:E16" xr:uid="{077E187F-B595-4482-9FDE-B65DA8AE6A16}"/>
    <dataValidation allowBlank="1" showInputMessage="1" showErrorMessage="1" promptTitle="Bike Lane Ends" prompt="Enter additional quanities for this type of sign, if desired or required." sqref="E23" xr:uid="{885E5E98-FBE0-4E81-8775-B55EF6934153}"/>
    <dataValidation type="list" allowBlank="1" showInputMessage="1" showErrorMessage="1" sqref="E6" xr:uid="{78E99C5F-B310-4D82-A231-BC93315D4F5D}">
      <formula1>"ONE, BOTH"</formula1>
    </dataValidation>
  </dataValidations>
  <pageMargins left="0.25" right="0.25" top="0.75" bottom="0.75" header="0.3" footer="0.3"/>
  <pageSetup paperSize="3" scale="3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736FF-1BEC-4E1E-AAAC-230318E4A532}">
  <sheetPr codeName="Sheet10">
    <pageSetUpPr fitToPage="1"/>
  </sheetPr>
  <dimension ref="A1:AH44"/>
  <sheetViews>
    <sheetView topLeftCell="A29" zoomScaleNormal="100" workbookViewId="0">
      <selection activeCell="C42" sqref="C42"/>
    </sheetView>
  </sheetViews>
  <sheetFormatPr defaultRowHeight="14.5" x14ac:dyDescent="0.35"/>
  <cols>
    <col min="1" max="1" width="8.6328125" style="2" customWidth="1"/>
    <col min="2" max="2" width="39.6328125" style="1" customWidth="1"/>
    <col min="3" max="3" width="12.6328125" style="4" customWidth="1"/>
    <col min="4" max="4" width="9.6328125" style="4" customWidth="1"/>
    <col min="5" max="7" width="12.6328125" style="3" customWidth="1"/>
    <col min="8" max="8" width="14" style="4" customWidth="1"/>
    <col min="9" max="9" width="55.6328125" style="5" customWidth="1"/>
    <col min="10" max="10" width="23.90625" style="5" customWidth="1"/>
    <col min="11" max="11" width="14" style="5" customWidth="1"/>
    <col min="12" max="16" width="12.6328125" style="5" customWidth="1"/>
    <col min="17" max="17" width="14.36328125" style="3" bestFit="1" customWidth="1"/>
    <col min="18" max="18" width="12.6328125" style="5" customWidth="1"/>
    <col min="19" max="19" width="10.6328125" style="3" customWidth="1"/>
    <col min="20" max="23" width="12.6328125" style="5" customWidth="1"/>
    <col min="24" max="24" width="14.36328125" style="5" customWidth="1"/>
    <col min="25" max="26" width="12.6328125" style="5" customWidth="1"/>
    <col min="27" max="27" width="15.36328125" style="5" customWidth="1"/>
    <col min="28" max="28" width="12.6328125" style="5" customWidth="1"/>
    <col min="29" max="29" width="12.6328125" style="6" customWidth="1"/>
    <col min="30" max="30" width="23" style="1" customWidth="1"/>
    <col min="32" max="32" width="9.6328125" bestFit="1" customWidth="1"/>
    <col min="33" max="33" width="11.6328125" bestFit="1" customWidth="1"/>
  </cols>
  <sheetData>
    <row r="1" spans="1:34" ht="15" thickBot="1" x14ac:dyDescent="0.4">
      <c r="A1" s="51"/>
      <c r="C1" s="2"/>
      <c r="H1" s="2"/>
      <c r="I1" s="116" t="s">
        <v>85</v>
      </c>
      <c r="J1" s="116"/>
      <c r="K1" s="116"/>
      <c r="L1" s="7"/>
      <c r="M1" s="7"/>
      <c r="N1" s="15"/>
      <c r="O1" s="7"/>
      <c r="P1" s="7"/>
      <c r="R1" s="7"/>
      <c r="T1" s="7"/>
      <c r="U1" s="7"/>
      <c r="V1" s="7"/>
      <c r="W1" s="7"/>
      <c r="X1" s="7"/>
      <c r="Y1" s="7"/>
      <c r="Z1" s="7"/>
      <c r="AA1" s="7"/>
      <c r="AB1" s="7"/>
      <c r="AC1" s="14"/>
      <c r="AD1" s="13"/>
      <c r="AF1" s="9"/>
      <c r="AG1" s="8"/>
    </row>
    <row r="2" spans="1:34" ht="48.25" customHeight="1" thickBot="1" x14ac:dyDescent="0.4">
      <c r="A2" s="10"/>
      <c r="B2" s="325" t="s">
        <v>113</v>
      </c>
      <c r="C2" s="326"/>
      <c r="D2" s="326"/>
      <c r="E2" s="326"/>
      <c r="F2" s="326"/>
      <c r="G2" s="327"/>
      <c r="H2" s="10"/>
      <c r="I2" s="276" t="s">
        <v>87</v>
      </c>
      <c r="J2" s="276"/>
      <c r="K2" s="276"/>
    </row>
    <row r="3" spans="1:34" s="5" customFormat="1" ht="8.15" customHeight="1" thickBot="1" x14ac:dyDescent="0.4">
      <c r="A3" s="10"/>
      <c r="B3" s="333" t="s">
        <v>26</v>
      </c>
      <c r="C3" s="333"/>
      <c r="D3" s="333"/>
      <c r="E3" s="333"/>
      <c r="F3" s="333"/>
      <c r="G3" s="333"/>
      <c r="H3" s="10"/>
      <c r="Q3" s="3"/>
      <c r="S3" s="3"/>
      <c r="AC3" s="6"/>
      <c r="AD3" s="1"/>
      <c r="AE3"/>
      <c r="AF3"/>
      <c r="AG3"/>
      <c r="AH3"/>
    </row>
    <row r="4" spans="1:34" s="5" customFormat="1" ht="42" customHeight="1" x14ac:dyDescent="0.35">
      <c r="A4" s="10"/>
      <c r="B4" s="92" t="s">
        <v>88</v>
      </c>
      <c r="C4" s="93" t="s">
        <v>89</v>
      </c>
      <c r="D4" s="93"/>
      <c r="E4" s="94" t="s">
        <v>75</v>
      </c>
      <c r="F4" s="135"/>
      <c r="G4" s="81"/>
      <c r="H4" s="10"/>
      <c r="I4" s="329" t="s">
        <v>324</v>
      </c>
      <c r="J4" s="329"/>
      <c r="K4" s="329"/>
      <c r="L4" s="329"/>
      <c r="Q4" s="3"/>
      <c r="S4" s="3"/>
      <c r="AC4" s="6"/>
      <c r="AD4" s="1"/>
      <c r="AE4"/>
      <c r="AF4"/>
      <c r="AG4"/>
      <c r="AH4"/>
    </row>
    <row r="5" spans="1:34" s="5" customFormat="1" ht="16" customHeight="1" x14ac:dyDescent="0.35">
      <c r="A5" s="10"/>
      <c r="B5" s="61" t="s">
        <v>76</v>
      </c>
      <c r="C5" s="62" t="s">
        <v>77</v>
      </c>
      <c r="E5" s="150">
        <v>0</v>
      </c>
      <c r="F5" s="17"/>
      <c r="G5" s="21"/>
      <c r="H5" s="10"/>
      <c r="I5" s="10" t="s">
        <v>90</v>
      </c>
      <c r="Q5" s="3"/>
      <c r="S5" s="3"/>
      <c r="AC5" s="6"/>
      <c r="AD5" s="1"/>
      <c r="AE5"/>
      <c r="AF5"/>
      <c r="AG5"/>
      <c r="AH5"/>
    </row>
    <row r="6" spans="1:34" s="5" customFormat="1" ht="29" x14ac:dyDescent="0.35">
      <c r="A6" s="10"/>
      <c r="B6" s="61" t="s">
        <v>107</v>
      </c>
      <c r="C6" s="62" t="s">
        <v>271</v>
      </c>
      <c r="D6" s="251"/>
      <c r="E6" s="268" t="s">
        <v>92</v>
      </c>
      <c r="F6" s="17"/>
      <c r="G6" s="21"/>
      <c r="I6" s="10" t="s">
        <v>308</v>
      </c>
      <c r="Q6" s="3"/>
      <c r="S6" s="3"/>
      <c r="AC6" s="6"/>
      <c r="AD6" s="1"/>
      <c r="AE6"/>
      <c r="AF6"/>
      <c r="AG6"/>
      <c r="AH6"/>
    </row>
    <row r="7" spans="1:34" s="5" customFormat="1" ht="16" customHeight="1" x14ac:dyDescent="0.35">
      <c r="A7" s="10"/>
      <c r="B7" s="61" t="s">
        <v>76</v>
      </c>
      <c r="C7" s="62" t="s">
        <v>31</v>
      </c>
      <c r="E7" s="117">
        <f>IF(E6="ONE", E5*5280, E5*2*5280)</f>
        <v>0</v>
      </c>
      <c r="F7" s="17"/>
      <c r="G7" s="21"/>
      <c r="H7" s="10"/>
      <c r="I7" s="10" t="s">
        <v>93</v>
      </c>
      <c r="Q7" s="3"/>
      <c r="S7" s="3"/>
      <c r="AC7" s="6"/>
      <c r="AD7" s="1"/>
      <c r="AE7"/>
      <c r="AF7"/>
      <c r="AG7"/>
      <c r="AH7"/>
    </row>
    <row r="8" spans="1:34" s="5" customFormat="1" ht="16" customHeight="1" x14ac:dyDescent="0.35">
      <c r="A8" s="10"/>
      <c r="B8" s="22" t="s">
        <v>78</v>
      </c>
      <c r="C8" s="2" t="s">
        <v>28</v>
      </c>
      <c r="E8" s="134">
        <v>0</v>
      </c>
      <c r="F8" s="17"/>
      <c r="G8" s="21"/>
      <c r="H8" s="10"/>
      <c r="I8" s="10" t="s">
        <v>94</v>
      </c>
      <c r="Q8" s="3"/>
      <c r="S8" s="3"/>
      <c r="AC8" s="6"/>
      <c r="AD8" s="1"/>
      <c r="AE8"/>
      <c r="AF8"/>
      <c r="AG8"/>
      <c r="AH8"/>
    </row>
    <row r="9" spans="1:34" s="5" customFormat="1" ht="16" customHeight="1" x14ac:dyDescent="0.35">
      <c r="A9" s="10"/>
      <c r="B9" s="23" t="s">
        <v>79</v>
      </c>
      <c r="C9" s="34" t="s">
        <v>31</v>
      </c>
      <c r="E9" s="134">
        <v>0</v>
      </c>
      <c r="F9" s="17"/>
      <c r="G9" s="21"/>
      <c r="H9" s="10"/>
      <c r="I9" s="10" t="s">
        <v>108</v>
      </c>
      <c r="Q9" s="3"/>
      <c r="S9" s="3"/>
      <c r="AC9" s="6"/>
      <c r="AD9" s="1"/>
      <c r="AE9"/>
      <c r="AF9"/>
      <c r="AG9"/>
      <c r="AH9"/>
    </row>
    <row r="10" spans="1:34" s="5" customFormat="1" ht="16" customHeight="1" x14ac:dyDescent="0.35">
      <c r="A10" s="10"/>
      <c r="B10" s="23"/>
      <c r="C10" s="34"/>
      <c r="E10" s="63"/>
      <c r="F10" s="190"/>
      <c r="G10" s="60"/>
      <c r="H10" s="10"/>
      <c r="I10" s="10" t="s">
        <v>26</v>
      </c>
      <c r="Q10" s="3"/>
      <c r="S10" s="3"/>
      <c r="AC10" s="6"/>
      <c r="AD10" s="1"/>
      <c r="AE10"/>
      <c r="AF10"/>
      <c r="AG10"/>
      <c r="AH10"/>
    </row>
    <row r="11" spans="1:34" s="5" customFormat="1" ht="29" customHeight="1" x14ac:dyDescent="0.35">
      <c r="A11" s="10"/>
      <c r="B11" s="96" t="s">
        <v>25</v>
      </c>
      <c r="C11" s="97"/>
      <c r="D11" s="85"/>
      <c r="E11" s="97" t="s">
        <v>75</v>
      </c>
      <c r="F11" s="97" t="s">
        <v>97</v>
      </c>
      <c r="G11" s="218" t="s">
        <v>98</v>
      </c>
      <c r="H11" s="10"/>
      <c r="I11" s="10"/>
      <c r="J11" s="130"/>
      <c r="Q11" s="3"/>
      <c r="S11" s="3"/>
      <c r="AC11" s="6"/>
      <c r="AD11" s="1"/>
      <c r="AE11"/>
      <c r="AF11"/>
      <c r="AG11"/>
      <c r="AH11"/>
    </row>
    <row r="12" spans="1:34" s="5" customFormat="1" ht="29" customHeight="1" x14ac:dyDescent="0.35">
      <c r="A12" s="10"/>
      <c r="B12" s="23" t="s">
        <v>109</v>
      </c>
      <c r="C12" s="34" t="s">
        <v>28</v>
      </c>
      <c r="E12" s="63">
        <f>E7/(5280/4)+E8</f>
        <v>0</v>
      </c>
      <c r="F12" s="17">
        <f>'Master List of Items'!E19</f>
        <v>300</v>
      </c>
      <c r="G12" s="60">
        <f>F12*E12</f>
        <v>0</v>
      </c>
      <c r="H12" s="10"/>
      <c r="I12" s="332" t="s">
        <v>170</v>
      </c>
      <c r="J12" s="332"/>
      <c r="K12" s="332"/>
      <c r="L12" s="332"/>
      <c r="M12" s="332"/>
      <c r="Q12" s="3"/>
      <c r="S12" s="3"/>
      <c r="AC12" s="6"/>
      <c r="AD12" s="1"/>
      <c r="AE12"/>
      <c r="AF12"/>
      <c r="AG12"/>
      <c r="AH12"/>
    </row>
    <row r="13" spans="1:34" s="5" customFormat="1" ht="16" customHeight="1" x14ac:dyDescent="0.35">
      <c r="A13" s="10"/>
      <c r="B13" s="23" t="s">
        <v>30</v>
      </c>
      <c r="C13" s="34" t="s">
        <v>31</v>
      </c>
      <c r="E13" s="108">
        <f>(E7-E8*E9)*2</f>
        <v>0</v>
      </c>
      <c r="F13" s="17">
        <f>'Master List of Items'!E20</f>
        <v>5</v>
      </c>
      <c r="G13" s="60">
        <f>F13*E13</f>
        <v>0</v>
      </c>
      <c r="H13" s="10"/>
      <c r="I13" s="10" t="s">
        <v>309</v>
      </c>
      <c r="Q13" s="3"/>
      <c r="S13" s="3"/>
      <c r="AC13" s="6"/>
      <c r="AD13" s="1"/>
      <c r="AE13"/>
      <c r="AF13"/>
      <c r="AG13"/>
      <c r="AH13"/>
    </row>
    <row r="14" spans="1:34" s="5" customFormat="1" ht="29" customHeight="1" x14ac:dyDescent="0.35">
      <c r="A14" s="10"/>
      <c r="B14" s="136" t="s">
        <v>80</v>
      </c>
      <c r="C14" s="34" t="s">
        <v>31</v>
      </c>
      <c r="E14" s="134">
        <v>0</v>
      </c>
      <c r="F14" s="17">
        <f>'Master List of Items'!E21</f>
        <v>1.25</v>
      </c>
      <c r="G14" s="60">
        <f>F14*E14</f>
        <v>0</v>
      </c>
      <c r="H14" s="10"/>
      <c r="I14" s="209" t="s">
        <v>201</v>
      </c>
      <c r="Q14" s="3"/>
      <c r="S14" s="3"/>
      <c r="AC14" s="6"/>
      <c r="AD14" s="1"/>
      <c r="AE14"/>
      <c r="AF14"/>
      <c r="AG14"/>
      <c r="AH14"/>
    </row>
    <row r="15" spans="1:34" s="5" customFormat="1" ht="16" customHeight="1" x14ac:dyDescent="0.35">
      <c r="A15" s="10"/>
      <c r="B15" s="23" t="s">
        <v>34</v>
      </c>
      <c r="C15" s="34" t="s">
        <v>31</v>
      </c>
      <c r="D15" s="63"/>
      <c r="E15" s="134">
        <v>0</v>
      </c>
      <c r="F15" s="17">
        <f>'Master List of Items'!E22</f>
        <v>5</v>
      </c>
      <c r="G15" s="60">
        <f>F15*E15</f>
        <v>0</v>
      </c>
      <c r="H15" s="10"/>
      <c r="I15" s="208" t="s">
        <v>200</v>
      </c>
      <c r="Q15" s="3"/>
      <c r="S15" s="3"/>
      <c r="AC15" s="6"/>
      <c r="AD15" s="1"/>
      <c r="AE15"/>
      <c r="AF15"/>
      <c r="AG15"/>
      <c r="AH15"/>
    </row>
    <row r="16" spans="1:34" s="5" customFormat="1" ht="16" customHeight="1" x14ac:dyDescent="0.35">
      <c r="A16" s="10"/>
      <c r="B16" s="23" t="s">
        <v>81</v>
      </c>
      <c r="C16" s="34" t="s">
        <v>36</v>
      </c>
      <c r="D16" s="63"/>
      <c r="E16" s="63">
        <f>E8*(E9+10+10)*6</f>
        <v>0</v>
      </c>
      <c r="F16" s="190">
        <f>'Master List of Items'!E23</f>
        <v>20</v>
      </c>
      <c r="G16" s="60">
        <f>F16*E16</f>
        <v>0</v>
      </c>
      <c r="H16" s="10"/>
      <c r="I16" s="36" t="s">
        <v>111</v>
      </c>
      <c r="Q16" s="3"/>
      <c r="S16" s="3"/>
      <c r="AC16" s="6"/>
      <c r="AD16" s="1"/>
      <c r="AE16"/>
      <c r="AF16"/>
      <c r="AG16"/>
      <c r="AH16"/>
    </row>
    <row r="17" spans="1:34" s="5" customFormat="1" ht="29" customHeight="1" x14ac:dyDescent="0.35">
      <c r="A17" s="10"/>
      <c r="B17" s="96" t="s">
        <v>276</v>
      </c>
      <c r="C17" s="240"/>
      <c r="D17" s="98" t="s">
        <v>133</v>
      </c>
      <c r="E17" s="98" t="s">
        <v>278</v>
      </c>
      <c r="F17" s="241" t="s">
        <v>97</v>
      </c>
      <c r="G17" s="84" t="s">
        <v>98</v>
      </c>
      <c r="H17" s="10"/>
      <c r="I17" s="36"/>
      <c r="Q17" s="3"/>
      <c r="S17" s="3"/>
      <c r="AC17" s="6"/>
      <c r="AD17" s="1"/>
      <c r="AE17"/>
      <c r="AF17"/>
      <c r="AG17"/>
      <c r="AH17"/>
    </row>
    <row r="18" spans="1:34" s="5" customFormat="1" ht="29" customHeight="1" x14ac:dyDescent="0.35">
      <c r="A18" s="10"/>
      <c r="B18" s="136" t="s">
        <v>288</v>
      </c>
      <c r="C18" s="34" t="s">
        <v>277</v>
      </c>
      <c r="D18" s="118">
        <v>0</v>
      </c>
      <c r="E18" s="118">
        <v>0</v>
      </c>
      <c r="F18" s="26">
        <f>'Master List of Items'!E25</f>
        <v>6</v>
      </c>
      <c r="G18" s="60">
        <f>D18*E18/9*F18</f>
        <v>0</v>
      </c>
      <c r="H18" s="10"/>
      <c r="I18" s="330" t="s">
        <v>289</v>
      </c>
      <c r="J18" s="330"/>
      <c r="K18" s="330"/>
      <c r="L18" s="330"/>
      <c r="M18" s="330"/>
      <c r="N18" s="37"/>
      <c r="Q18" s="3"/>
      <c r="S18" s="3"/>
      <c r="AC18" s="6"/>
      <c r="AD18" s="1"/>
      <c r="AE18"/>
      <c r="AF18"/>
      <c r="AG18"/>
      <c r="AH18"/>
    </row>
    <row r="19" spans="1:34" s="5" customFormat="1" ht="29" customHeight="1" x14ac:dyDescent="0.35">
      <c r="A19" s="10"/>
      <c r="B19" s="242" t="s">
        <v>280</v>
      </c>
      <c r="C19" s="34" t="s">
        <v>277</v>
      </c>
      <c r="D19" s="118">
        <v>0</v>
      </c>
      <c r="E19" s="118">
        <v>0</v>
      </c>
      <c r="F19" s="26">
        <f>'Master List of Items'!E26</f>
        <v>5</v>
      </c>
      <c r="G19" s="60">
        <f>D19*E19/9*F19</f>
        <v>0</v>
      </c>
      <c r="H19" s="10"/>
      <c r="I19" s="330" t="s">
        <v>283</v>
      </c>
      <c r="J19" s="330"/>
      <c r="K19" s="330"/>
      <c r="L19" s="330"/>
      <c r="M19" s="330"/>
      <c r="N19" s="37"/>
      <c r="O19" s="37"/>
      <c r="Q19" s="3"/>
      <c r="S19" s="3"/>
      <c r="AC19" s="6"/>
      <c r="AD19" s="1"/>
      <c r="AE19"/>
      <c r="AF19"/>
      <c r="AG19"/>
      <c r="AH19"/>
    </row>
    <row r="20" spans="1:34" s="5" customFormat="1" ht="29" customHeight="1" x14ac:dyDescent="0.35">
      <c r="A20" s="10"/>
      <c r="B20" s="242" t="s">
        <v>281</v>
      </c>
      <c r="C20" s="34" t="s">
        <v>279</v>
      </c>
      <c r="D20" s="118">
        <v>0</v>
      </c>
      <c r="E20" s="118">
        <v>0</v>
      </c>
      <c r="F20" s="26">
        <f>'Master List of Items'!E27</f>
        <v>130</v>
      </c>
      <c r="G20" s="60">
        <f>(D20*E20/9)*1/17*F20</f>
        <v>0</v>
      </c>
      <c r="H20" s="10"/>
      <c r="I20" s="330" t="s">
        <v>282</v>
      </c>
      <c r="J20" s="330"/>
      <c r="K20" s="330"/>
      <c r="L20" s="330"/>
      <c r="M20" s="330"/>
      <c r="N20" s="37"/>
      <c r="O20" s="37"/>
      <c r="Q20" s="3"/>
      <c r="S20" s="3"/>
      <c r="AC20" s="6"/>
      <c r="AD20" s="1"/>
      <c r="AE20"/>
      <c r="AF20"/>
      <c r="AG20"/>
      <c r="AH20"/>
    </row>
    <row r="21" spans="1:34" ht="29" customHeight="1" x14ac:dyDescent="0.35">
      <c r="B21" s="96" t="s">
        <v>37</v>
      </c>
      <c r="C21" s="97" t="s">
        <v>226</v>
      </c>
      <c r="D21" s="98" t="s">
        <v>228</v>
      </c>
      <c r="E21" s="99" t="s">
        <v>75</v>
      </c>
      <c r="F21" s="97" t="s">
        <v>97</v>
      </c>
      <c r="G21" s="218" t="s">
        <v>98</v>
      </c>
    </row>
    <row r="22" spans="1:34" ht="16" customHeight="1" x14ac:dyDescent="0.35">
      <c r="B22" s="52" t="s">
        <v>39</v>
      </c>
      <c r="C22" s="25" t="s">
        <v>40</v>
      </c>
      <c r="D22" s="20">
        <v>3</v>
      </c>
      <c r="E22" s="63">
        <f>E5*2+E8</f>
        <v>0</v>
      </c>
      <c r="F22" s="26">
        <f>'Master List of Items'!E29</f>
        <v>500</v>
      </c>
      <c r="G22" s="27">
        <f>E22*F22*D22</f>
        <v>0</v>
      </c>
      <c r="I22" s="36" t="s">
        <v>204</v>
      </c>
    </row>
    <row r="23" spans="1:34" s="4" customFormat="1" ht="16" customHeight="1" x14ac:dyDescent="0.35">
      <c r="A23" s="2"/>
      <c r="B23" s="52" t="s">
        <v>42</v>
      </c>
      <c r="C23" s="25" t="s">
        <v>43</v>
      </c>
      <c r="D23" s="33">
        <v>1.3</v>
      </c>
      <c r="E23" s="118">
        <v>0</v>
      </c>
      <c r="F23" s="26">
        <f>'Master List of Items'!E30</f>
        <v>500</v>
      </c>
      <c r="G23" s="60">
        <f t="shared" ref="G23:G26" si="0">E23*F23*D23</f>
        <v>0</v>
      </c>
      <c r="I23" s="36" t="s">
        <v>224</v>
      </c>
      <c r="J23" s="5"/>
      <c r="K23" s="5"/>
      <c r="L23" s="5"/>
      <c r="M23" s="5"/>
      <c r="N23" s="5"/>
      <c r="O23" s="5"/>
      <c r="P23" s="5"/>
      <c r="Q23" s="3"/>
      <c r="R23" s="5"/>
      <c r="S23" s="3"/>
      <c r="T23" s="5"/>
      <c r="U23" s="5"/>
      <c r="V23" s="5"/>
      <c r="W23" s="5"/>
      <c r="X23" s="5"/>
      <c r="Y23" s="5"/>
      <c r="Z23" s="5"/>
      <c r="AA23" s="5"/>
      <c r="AB23" s="5"/>
      <c r="AC23" s="6"/>
      <c r="AD23" s="1"/>
      <c r="AE23"/>
      <c r="AF23"/>
      <c r="AG23"/>
      <c r="AH23"/>
    </row>
    <row r="24" spans="1:34" s="4" customFormat="1" ht="16" customHeight="1" x14ac:dyDescent="0.35">
      <c r="A24" s="2"/>
      <c r="B24" s="52" t="s">
        <v>44</v>
      </c>
      <c r="C24" s="25" t="s">
        <v>43</v>
      </c>
      <c r="D24" s="33">
        <v>1.3</v>
      </c>
      <c r="E24" s="118">
        <v>0</v>
      </c>
      <c r="F24" s="26">
        <f>'Master List of Items'!E31</f>
        <v>500</v>
      </c>
      <c r="G24" s="60">
        <f t="shared" si="0"/>
        <v>0</v>
      </c>
      <c r="I24" s="36" t="s">
        <v>224</v>
      </c>
      <c r="J24" s="5"/>
      <c r="K24" s="5"/>
      <c r="L24" s="5"/>
      <c r="M24" s="5"/>
      <c r="N24" s="5"/>
      <c r="O24" s="5"/>
      <c r="P24" s="5"/>
      <c r="Q24" s="3"/>
      <c r="R24" s="5"/>
      <c r="S24" s="3"/>
      <c r="T24" s="5"/>
      <c r="U24" s="5"/>
      <c r="V24" s="5"/>
      <c r="W24" s="5"/>
      <c r="X24" s="5"/>
      <c r="Y24" s="5"/>
      <c r="Z24" s="5"/>
      <c r="AA24" s="5"/>
      <c r="AB24" s="5"/>
      <c r="AC24" s="6"/>
      <c r="AD24" s="1"/>
      <c r="AE24"/>
      <c r="AF24"/>
      <c r="AG24"/>
      <c r="AH24"/>
    </row>
    <row r="25" spans="1:34" s="4" customFormat="1" ht="16" customHeight="1" x14ac:dyDescent="0.35">
      <c r="A25" s="2"/>
      <c r="B25" s="52" t="s">
        <v>45</v>
      </c>
      <c r="C25" s="25" t="s">
        <v>46</v>
      </c>
      <c r="D25" s="33">
        <v>7.5</v>
      </c>
      <c r="E25" s="117">
        <f>IF(E6="ONE", E8, E8*2)</f>
        <v>0</v>
      </c>
      <c r="F25" s="26">
        <f>'Master List of Items'!E32</f>
        <v>500</v>
      </c>
      <c r="G25" s="60">
        <f>E25*F25*D25</f>
        <v>0</v>
      </c>
      <c r="I25" s="36" t="s">
        <v>225</v>
      </c>
      <c r="J25" s="5"/>
      <c r="K25" s="5"/>
      <c r="L25" s="5"/>
      <c r="M25" s="5"/>
      <c r="N25" s="5"/>
      <c r="O25" s="5"/>
      <c r="P25" s="5"/>
      <c r="Q25" s="3"/>
      <c r="R25" s="5"/>
      <c r="S25" s="3"/>
      <c r="T25" s="5"/>
      <c r="U25" s="5"/>
      <c r="V25" s="5"/>
      <c r="W25" s="5"/>
      <c r="X25" s="5"/>
      <c r="Y25" s="5"/>
      <c r="Z25" s="5"/>
      <c r="AA25" s="5"/>
      <c r="AB25" s="5"/>
      <c r="AC25" s="6"/>
      <c r="AD25" s="1"/>
      <c r="AE25"/>
      <c r="AF25"/>
      <c r="AG25"/>
      <c r="AH25"/>
    </row>
    <row r="26" spans="1:34" s="4" customFormat="1" ht="16" customHeight="1" x14ac:dyDescent="0.35">
      <c r="A26" s="2"/>
      <c r="B26" s="52" t="s">
        <v>47</v>
      </c>
      <c r="C26" s="25" t="s">
        <v>48</v>
      </c>
      <c r="D26" s="33">
        <v>6.25</v>
      </c>
      <c r="E26" s="119">
        <v>0</v>
      </c>
      <c r="F26" s="26">
        <f>'Master List of Items'!E33</f>
        <v>500</v>
      </c>
      <c r="G26" s="60">
        <f t="shared" si="0"/>
        <v>0</v>
      </c>
      <c r="I26" s="36" t="s">
        <v>224</v>
      </c>
      <c r="J26" s="5"/>
      <c r="K26" s="5"/>
      <c r="L26" s="5"/>
      <c r="M26" s="5"/>
      <c r="N26" s="5"/>
      <c r="O26" s="5"/>
      <c r="P26" s="5"/>
      <c r="Q26" s="3"/>
      <c r="R26" s="5"/>
      <c r="S26" s="3"/>
      <c r="T26" s="5"/>
      <c r="U26" s="5"/>
      <c r="V26" s="5"/>
      <c r="W26" s="5"/>
      <c r="X26" s="5"/>
      <c r="Y26" s="5"/>
      <c r="Z26" s="5"/>
      <c r="AA26" s="5"/>
      <c r="AB26" s="5"/>
      <c r="AC26" s="6"/>
      <c r="AD26" s="1"/>
      <c r="AE26"/>
      <c r="AF26"/>
      <c r="AG26"/>
      <c r="AH26"/>
    </row>
    <row r="27" spans="1:34" s="4" customFormat="1" ht="29" customHeight="1" x14ac:dyDescent="0.35">
      <c r="A27" s="2"/>
      <c r="B27" s="82" t="s">
        <v>78</v>
      </c>
      <c r="C27" s="192"/>
      <c r="D27" s="193"/>
      <c r="E27" s="99" t="s">
        <v>75</v>
      </c>
      <c r="F27" s="97" t="s">
        <v>97</v>
      </c>
      <c r="G27" s="218" t="s">
        <v>98</v>
      </c>
      <c r="I27" s="5"/>
      <c r="J27" s="5"/>
      <c r="K27" s="5"/>
      <c r="L27" s="5"/>
      <c r="M27" s="5"/>
      <c r="N27" s="5"/>
      <c r="O27" s="5"/>
      <c r="P27" s="5"/>
      <c r="Q27" s="3"/>
      <c r="R27" s="5"/>
      <c r="S27" s="3"/>
      <c r="T27" s="5"/>
      <c r="U27" s="5"/>
      <c r="V27" s="5"/>
      <c r="W27" s="5"/>
      <c r="X27" s="5"/>
      <c r="Y27" s="5"/>
      <c r="Z27" s="5"/>
      <c r="AA27" s="5"/>
      <c r="AB27" s="5"/>
      <c r="AC27" s="6"/>
      <c r="AD27" s="1"/>
      <c r="AE27"/>
      <c r="AF27"/>
      <c r="AG27"/>
      <c r="AH27"/>
    </row>
    <row r="28" spans="1:34" s="4" customFormat="1" ht="43.5" customHeight="1" x14ac:dyDescent="0.35">
      <c r="A28" s="2"/>
      <c r="B28" s="52" t="s">
        <v>241</v>
      </c>
      <c r="C28" s="187" t="s">
        <v>55</v>
      </c>
      <c r="D28" s="189"/>
      <c r="E28" s="134">
        <v>0</v>
      </c>
      <c r="F28" s="188">
        <f>'Master List of Items'!E42</f>
        <v>20000</v>
      </c>
      <c r="G28" s="149">
        <f>E28*F28</f>
        <v>0</v>
      </c>
      <c r="I28" s="330" t="s">
        <v>245</v>
      </c>
      <c r="J28" s="330"/>
      <c r="K28" s="330"/>
      <c r="L28" s="330"/>
      <c r="M28" s="330"/>
      <c r="N28" s="5"/>
      <c r="O28" s="5"/>
      <c r="P28" s="5"/>
      <c r="Q28" s="3"/>
      <c r="R28" s="5"/>
      <c r="S28" s="3"/>
      <c r="T28" s="5"/>
      <c r="U28" s="5"/>
      <c r="V28" s="5"/>
      <c r="W28" s="5"/>
      <c r="X28" s="5"/>
      <c r="Y28" s="5"/>
      <c r="Z28" s="5"/>
      <c r="AA28" s="5"/>
      <c r="AB28" s="5"/>
      <c r="AC28" s="6"/>
      <c r="AD28" s="1"/>
      <c r="AE28"/>
      <c r="AF28"/>
      <c r="AG28"/>
      <c r="AH28"/>
    </row>
    <row r="29" spans="1:34" s="4" customFormat="1" ht="43.5" customHeight="1" x14ac:dyDescent="0.35">
      <c r="A29" s="2"/>
      <c r="B29" s="194" t="s">
        <v>242</v>
      </c>
      <c r="C29" s="187" t="s">
        <v>55</v>
      </c>
      <c r="D29" s="189"/>
      <c r="E29" s="134">
        <v>0</v>
      </c>
      <c r="F29" s="188">
        <f>'Master List of Items'!E43</f>
        <v>30000</v>
      </c>
      <c r="G29" s="149">
        <f>E29*F29</f>
        <v>0</v>
      </c>
      <c r="I29" s="330" t="s">
        <v>181</v>
      </c>
      <c r="J29" s="330"/>
      <c r="K29" s="330"/>
      <c r="L29" s="330"/>
      <c r="M29" s="330"/>
      <c r="N29" s="5"/>
      <c r="O29" s="5"/>
      <c r="P29" s="5"/>
      <c r="Q29" s="3"/>
      <c r="R29" s="5"/>
      <c r="S29" s="3"/>
      <c r="T29" s="5"/>
      <c r="U29" s="5"/>
      <c r="V29" s="5"/>
      <c r="W29" s="5"/>
      <c r="X29" s="5"/>
      <c r="Y29" s="5"/>
      <c r="Z29" s="5"/>
      <c r="AA29" s="5"/>
      <c r="AB29" s="5"/>
      <c r="AC29" s="6"/>
      <c r="AD29" s="1"/>
      <c r="AE29"/>
      <c r="AF29"/>
      <c r="AG29"/>
      <c r="AH29"/>
    </row>
    <row r="30" spans="1:34" s="4" customFormat="1" ht="29" customHeight="1" x14ac:dyDescent="0.35">
      <c r="A30" s="2"/>
      <c r="B30" s="96" t="s">
        <v>51</v>
      </c>
      <c r="C30" s="97" t="s">
        <v>114</v>
      </c>
      <c r="D30" s="97" t="s">
        <v>26</v>
      </c>
      <c r="E30" s="99" t="s">
        <v>75</v>
      </c>
      <c r="F30" s="97" t="s">
        <v>97</v>
      </c>
      <c r="G30" s="218" t="s">
        <v>98</v>
      </c>
      <c r="I30" s="36"/>
      <c r="J30" s="5"/>
      <c r="K30" s="5"/>
      <c r="L30" s="5"/>
      <c r="M30" s="5"/>
      <c r="N30" s="37"/>
      <c r="O30" s="37"/>
      <c r="P30" s="37"/>
      <c r="Q30" s="37"/>
      <c r="R30" s="5"/>
      <c r="S30" s="3"/>
      <c r="T30" s="5"/>
      <c r="U30" s="5"/>
      <c r="V30" s="5"/>
      <c r="W30" s="5"/>
      <c r="X30" s="5"/>
      <c r="Y30" s="5"/>
      <c r="Z30" s="5"/>
      <c r="AA30" s="5"/>
      <c r="AB30" s="5"/>
      <c r="AC30" s="6"/>
      <c r="AD30" s="1"/>
      <c r="AE30"/>
      <c r="AF30"/>
      <c r="AG30"/>
      <c r="AH30"/>
    </row>
    <row r="31" spans="1:34" s="4" customFormat="1" ht="16" customHeight="1" x14ac:dyDescent="0.35">
      <c r="A31" s="2"/>
      <c r="B31" s="52" t="s">
        <v>176</v>
      </c>
      <c r="C31" s="230">
        <v>0</v>
      </c>
      <c r="D31" s="25" t="s">
        <v>116</v>
      </c>
      <c r="E31" s="191">
        <f>C31/10</f>
        <v>0</v>
      </c>
      <c r="F31" s="26">
        <f>'Master List of Items'!E37</f>
        <v>225</v>
      </c>
      <c r="G31" s="27">
        <f>E31*F31</f>
        <v>0</v>
      </c>
      <c r="I31" s="36" t="s">
        <v>117</v>
      </c>
      <c r="N31" s="5"/>
      <c r="O31" s="5"/>
      <c r="P31" s="5"/>
      <c r="Q31" s="3"/>
      <c r="R31" s="5"/>
      <c r="S31" s="3"/>
      <c r="T31" s="5"/>
      <c r="U31" s="5"/>
      <c r="V31" s="5"/>
      <c r="W31" s="5"/>
      <c r="X31" s="5"/>
      <c r="Y31" s="5"/>
      <c r="Z31" s="5"/>
      <c r="AA31" s="5"/>
      <c r="AB31" s="5"/>
      <c r="AC31" s="6"/>
      <c r="AD31" s="1"/>
      <c r="AE31"/>
      <c r="AF31"/>
      <c r="AG31"/>
      <c r="AH31"/>
    </row>
    <row r="32" spans="1:34" s="4" customFormat="1" ht="87" x14ac:dyDescent="0.35">
      <c r="A32" s="2"/>
      <c r="B32" s="52" t="s">
        <v>291</v>
      </c>
      <c r="C32" s="230">
        <v>0</v>
      </c>
      <c r="D32" s="278" t="s">
        <v>292</v>
      </c>
      <c r="E32" s="34"/>
      <c r="F32" s="26">
        <f>'Master List of Items'!E38</f>
        <v>400</v>
      </c>
      <c r="G32" s="27">
        <f>C32*F32</f>
        <v>0</v>
      </c>
      <c r="I32" s="5" t="s">
        <v>293</v>
      </c>
      <c r="J32" s="5"/>
      <c r="K32" s="5"/>
      <c r="L32" s="5"/>
      <c r="M32" s="5"/>
      <c r="N32" s="5"/>
      <c r="O32" s="5"/>
      <c r="P32" s="5"/>
      <c r="Q32" s="3"/>
      <c r="R32" s="5"/>
      <c r="S32" s="3"/>
      <c r="T32" s="5"/>
      <c r="U32" s="5"/>
      <c r="V32" s="5"/>
      <c r="W32" s="5"/>
      <c r="X32" s="5"/>
      <c r="Y32" s="5"/>
      <c r="Z32" s="5"/>
      <c r="AA32" s="5"/>
      <c r="AB32" s="5"/>
      <c r="AC32" s="6"/>
      <c r="AD32" s="1"/>
      <c r="AE32"/>
      <c r="AF32"/>
      <c r="AG32"/>
      <c r="AH32"/>
    </row>
    <row r="33" spans="1:34" s="4" customFormat="1" ht="16" customHeight="1" x14ac:dyDescent="0.35">
      <c r="A33" s="2"/>
      <c r="B33" s="52" t="s">
        <v>118</v>
      </c>
      <c r="C33" s="230">
        <v>0</v>
      </c>
      <c r="D33" s="26"/>
      <c r="E33" s="191">
        <f>C33/31</f>
        <v>0</v>
      </c>
      <c r="F33" s="26">
        <f>'Master List of Items'!E39</f>
        <v>2300</v>
      </c>
      <c r="G33" s="27">
        <f t="shared" ref="G33" si="1">E33*F33</f>
        <v>0</v>
      </c>
      <c r="I33" s="36" t="s">
        <v>119</v>
      </c>
      <c r="N33" s="5"/>
      <c r="O33" s="5"/>
      <c r="P33" s="5"/>
      <c r="Q33" s="3"/>
      <c r="R33" s="5"/>
      <c r="S33" s="3"/>
      <c r="T33" s="5"/>
      <c r="U33" s="5"/>
      <c r="V33" s="5"/>
      <c r="W33" s="5"/>
      <c r="X33" s="5"/>
      <c r="Y33" s="5"/>
      <c r="Z33" s="5"/>
      <c r="AA33" s="5"/>
      <c r="AB33" s="5"/>
      <c r="AC33" s="6"/>
      <c r="AD33" s="1"/>
      <c r="AE33"/>
      <c r="AF33"/>
      <c r="AG33"/>
      <c r="AH33"/>
    </row>
    <row r="34" spans="1:34" s="4" customFormat="1" ht="16" customHeight="1" x14ac:dyDescent="0.35">
      <c r="A34" s="2"/>
      <c r="B34" s="52" t="s">
        <v>266</v>
      </c>
      <c r="C34" s="230">
        <v>0</v>
      </c>
      <c r="D34" s="26"/>
      <c r="E34" s="26"/>
      <c r="F34" s="26">
        <f>'Master List of Items'!E40</f>
        <v>250</v>
      </c>
      <c r="G34" s="27">
        <f>C34*F34</f>
        <v>0</v>
      </c>
      <c r="I34" s="36" t="s">
        <v>265</v>
      </c>
      <c r="N34" s="5"/>
      <c r="O34" s="5"/>
      <c r="P34" s="5"/>
      <c r="Q34" s="3"/>
      <c r="R34" s="5"/>
      <c r="S34" s="3"/>
      <c r="T34" s="5"/>
      <c r="U34" s="5"/>
      <c r="V34" s="5"/>
      <c r="W34" s="5"/>
      <c r="X34" s="5"/>
      <c r="Y34" s="5"/>
      <c r="Z34" s="5"/>
      <c r="AA34" s="5"/>
      <c r="AB34" s="5"/>
      <c r="AC34" s="6"/>
      <c r="AD34" s="1"/>
      <c r="AE34"/>
      <c r="AF34"/>
      <c r="AG34"/>
      <c r="AH34"/>
    </row>
    <row r="35" spans="1:34" s="4" customFormat="1" ht="43.5" x14ac:dyDescent="0.35">
      <c r="A35" s="2"/>
      <c r="B35" s="194" t="s">
        <v>248</v>
      </c>
      <c r="C35" s="196">
        <v>0</v>
      </c>
      <c r="D35" s="26"/>
      <c r="F35" s="26">
        <f>'Master List of Items'!E55</f>
        <v>250</v>
      </c>
      <c r="G35" s="27">
        <f>C35*F35+3300</f>
        <v>3300</v>
      </c>
      <c r="I35" s="5" t="s">
        <v>252</v>
      </c>
      <c r="J35" s="5"/>
      <c r="K35" s="5"/>
      <c r="L35" s="5"/>
      <c r="N35" s="5"/>
      <c r="O35" s="5"/>
      <c r="P35" s="5"/>
      <c r="Q35" s="3"/>
      <c r="R35" s="5"/>
      <c r="S35" s="3"/>
      <c r="T35" s="5"/>
      <c r="U35" s="5"/>
      <c r="V35" s="5"/>
      <c r="W35" s="5"/>
      <c r="X35" s="5"/>
      <c r="Y35" s="5"/>
      <c r="Z35" s="5"/>
      <c r="AA35" s="5"/>
      <c r="AB35" s="5"/>
      <c r="AC35" s="6"/>
      <c r="AD35" s="1"/>
      <c r="AE35"/>
      <c r="AF35"/>
      <c r="AG35"/>
      <c r="AH35"/>
    </row>
    <row r="36" spans="1:34" s="4" customFormat="1" ht="43.5" x14ac:dyDescent="0.35">
      <c r="A36" s="2"/>
      <c r="B36" s="194" t="s">
        <v>249</v>
      </c>
      <c r="C36" s="25" t="s">
        <v>26</v>
      </c>
      <c r="D36" s="26"/>
      <c r="E36" s="196">
        <v>0</v>
      </c>
      <c r="F36" s="26">
        <f>'Master List of Items'!E56</f>
        <v>37000</v>
      </c>
      <c r="G36" s="27">
        <f t="shared" ref="G36" si="2">E36*F36</f>
        <v>0</v>
      </c>
      <c r="I36" s="5" t="s">
        <v>267</v>
      </c>
      <c r="J36" s="5"/>
      <c r="K36" s="5"/>
      <c r="L36" s="5"/>
      <c r="N36" s="5"/>
      <c r="O36" s="5"/>
      <c r="P36" s="5"/>
      <c r="Q36" s="3"/>
      <c r="R36" s="5"/>
      <c r="S36" s="3"/>
      <c r="T36" s="5"/>
      <c r="U36" s="5"/>
      <c r="V36" s="5"/>
      <c r="W36" s="5"/>
      <c r="X36" s="5"/>
      <c r="Y36" s="5"/>
      <c r="Z36" s="5"/>
      <c r="AA36" s="5"/>
      <c r="AB36" s="5"/>
      <c r="AC36" s="6"/>
      <c r="AD36" s="1"/>
      <c r="AE36"/>
      <c r="AF36"/>
      <c r="AG36"/>
      <c r="AH36"/>
    </row>
    <row r="37" spans="1:34" s="4" customFormat="1" ht="29" customHeight="1" x14ac:dyDescent="0.35">
      <c r="A37" s="2"/>
      <c r="B37" s="82" t="s">
        <v>83</v>
      </c>
      <c r="C37" s="87"/>
      <c r="D37" s="88"/>
      <c r="E37" s="89"/>
      <c r="F37" s="90"/>
      <c r="G37" s="83">
        <f>SUM(G22:G26)+SUM(G28:G29)+SUM(G12:G16)+SUM(G31:G36)</f>
        <v>3300</v>
      </c>
      <c r="N37" s="5"/>
      <c r="O37" s="5"/>
      <c r="P37" s="5"/>
      <c r="Q37" s="3"/>
      <c r="R37" s="5"/>
      <c r="S37" s="3"/>
      <c r="T37" s="5"/>
      <c r="U37" s="5"/>
      <c r="V37" s="5"/>
      <c r="W37" s="5"/>
      <c r="X37" s="5"/>
      <c r="Y37" s="5"/>
      <c r="Z37" s="5"/>
      <c r="AA37" s="5"/>
      <c r="AB37" s="5"/>
      <c r="AC37" s="6"/>
      <c r="AD37" s="1"/>
      <c r="AE37"/>
      <c r="AF37"/>
      <c r="AG37"/>
      <c r="AH37"/>
    </row>
    <row r="38" spans="1:34" s="4" customFormat="1" ht="16" customHeight="1" x14ac:dyDescent="0.35">
      <c r="A38" s="2"/>
      <c r="B38" s="28" t="s">
        <v>23</v>
      </c>
      <c r="C38" s="53" t="s">
        <v>101</v>
      </c>
      <c r="D38" s="15"/>
      <c r="F38" s="137">
        <v>0.5</v>
      </c>
      <c r="G38" s="29">
        <f>F38*G37</f>
        <v>1650</v>
      </c>
      <c r="I38" s="323" t="s">
        <v>197</v>
      </c>
      <c r="J38" s="323"/>
      <c r="K38" s="323"/>
      <c r="L38" s="323"/>
      <c r="M38" s="323"/>
      <c r="N38" s="323"/>
      <c r="O38" s="5"/>
      <c r="P38" s="5"/>
      <c r="Q38" s="3"/>
      <c r="R38" s="5"/>
      <c r="S38" s="3"/>
      <c r="T38" s="5"/>
      <c r="U38" s="5"/>
      <c r="V38" s="5"/>
      <c r="W38" s="5"/>
      <c r="X38" s="5"/>
      <c r="Y38" s="5"/>
      <c r="Z38" s="5"/>
      <c r="AA38" s="5"/>
      <c r="AB38" s="5"/>
      <c r="AC38" s="6"/>
      <c r="AD38" s="1"/>
      <c r="AE38"/>
      <c r="AF38"/>
      <c r="AG38"/>
      <c r="AH38"/>
    </row>
    <row r="39" spans="1:34" s="4" customFormat="1" ht="29" customHeight="1" x14ac:dyDescent="0.35">
      <c r="A39" s="2"/>
      <c r="B39" s="82" t="s">
        <v>82</v>
      </c>
      <c r="C39" s="102" t="s">
        <v>26</v>
      </c>
      <c r="D39" s="102"/>
      <c r="E39" s="102"/>
      <c r="F39" s="91"/>
      <c r="G39" s="83">
        <f>G37+G38</f>
        <v>4950</v>
      </c>
      <c r="I39" s="331"/>
      <c r="J39" s="331"/>
      <c r="K39" s="331"/>
      <c r="L39" s="331"/>
      <c r="M39" s="331"/>
      <c r="N39" s="5"/>
      <c r="O39" s="5"/>
      <c r="P39" s="5"/>
      <c r="Q39" s="3"/>
      <c r="R39" s="5"/>
      <c r="S39" s="3"/>
      <c r="T39" s="5"/>
      <c r="U39" s="5"/>
      <c r="V39" s="5"/>
      <c r="W39" s="5"/>
      <c r="X39" s="5"/>
      <c r="Y39" s="5"/>
      <c r="Z39" s="5"/>
      <c r="AA39" s="5"/>
      <c r="AB39" s="5"/>
      <c r="AC39" s="6"/>
      <c r="AD39" s="1"/>
      <c r="AE39"/>
      <c r="AF39"/>
      <c r="AG39"/>
      <c r="AH39"/>
    </row>
    <row r="40" spans="1:34" s="4" customFormat="1" ht="16" customHeight="1" x14ac:dyDescent="0.35">
      <c r="A40" s="2"/>
      <c r="B40" s="28" t="s">
        <v>84</v>
      </c>
      <c r="C40" s="53" t="s">
        <v>102</v>
      </c>
      <c r="D40" s="129"/>
      <c r="E40" s="6"/>
      <c r="F40" s="203">
        <v>0.3</v>
      </c>
      <c r="G40" s="29">
        <f>F40*G39</f>
        <v>1485</v>
      </c>
      <c r="I40" s="36" t="s">
        <v>192</v>
      </c>
      <c r="J40" s="5"/>
      <c r="K40" s="5"/>
      <c r="L40" s="5"/>
      <c r="M40" s="5"/>
      <c r="N40" s="5"/>
      <c r="O40" s="5"/>
      <c r="P40" s="5"/>
      <c r="Q40" s="3"/>
      <c r="R40" s="5"/>
      <c r="S40" s="3"/>
      <c r="T40" s="5"/>
      <c r="U40" s="5"/>
      <c r="V40" s="5"/>
      <c r="W40" s="5"/>
      <c r="X40" s="5"/>
      <c r="Y40" s="5"/>
      <c r="Z40" s="5"/>
      <c r="AA40" s="5"/>
      <c r="AB40" s="5"/>
      <c r="AC40" s="6"/>
      <c r="AD40" s="1"/>
      <c r="AE40"/>
      <c r="AF40"/>
      <c r="AG40"/>
      <c r="AH40"/>
    </row>
    <row r="41" spans="1:34" s="4" customFormat="1" ht="29" customHeight="1" x14ac:dyDescent="0.35">
      <c r="A41" s="2"/>
      <c r="B41" s="82" t="s">
        <v>103</v>
      </c>
      <c r="C41" s="102" t="s">
        <v>26</v>
      </c>
      <c r="D41" s="102"/>
      <c r="E41" s="102"/>
      <c r="F41" s="91"/>
      <c r="G41" s="83">
        <f>G39+G40</f>
        <v>6435</v>
      </c>
      <c r="I41" s="132" t="s">
        <v>26</v>
      </c>
      <c r="J41" s="5"/>
      <c r="K41" s="5"/>
      <c r="L41" s="5"/>
      <c r="M41" s="5"/>
      <c r="N41" s="5"/>
      <c r="O41" s="5"/>
      <c r="P41" s="5"/>
      <c r="Q41" s="3"/>
      <c r="R41" s="5"/>
      <c r="S41" s="3"/>
      <c r="T41" s="5"/>
      <c r="U41" s="5"/>
      <c r="V41" s="5"/>
      <c r="W41" s="5"/>
      <c r="X41" s="5"/>
      <c r="Y41" s="5"/>
      <c r="Z41" s="5"/>
      <c r="AA41" s="5"/>
      <c r="AB41" s="5"/>
      <c r="AC41" s="6"/>
      <c r="AD41" s="1"/>
      <c r="AE41"/>
      <c r="AF41"/>
      <c r="AG41"/>
      <c r="AH41"/>
    </row>
    <row r="42" spans="1:34" s="4" customFormat="1" ht="16" customHeight="1" thickBot="1" x14ac:dyDescent="0.4">
      <c r="A42" s="2"/>
      <c r="B42" s="197" t="s">
        <v>24</v>
      </c>
      <c r="C42" s="198" t="s">
        <v>104</v>
      </c>
      <c r="D42" s="200"/>
      <c r="E42" s="200"/>
      <c r="F42" s="201">
        <v>0.2</v>
      </c>
      <c r="G42" s="202">
        <f>F42*G41</f>
        <v>1287</v>
      </c>
      <c r="I42" s="36" t="s">
        <v>189</v>
      </c>
      <c r="J42" s="5"/>
      <c r="K42" s="5"/>
      <c r="L42" s="5"/>
      <c r="M42" s="5"/>
      <c r="N42" s="5"/>
      <c r="O42" s="5"/>
      <c r="P42" s="5"/>
      <c r="Q42" s="3"/>
      <c r="R42" s="5"/>
      <c r="S42" s="3"/>
      <c r="T42" s="5"/>
      <c r="U42" s="5"/>
      <c r="V42" s="5"/>
      <c r="W42" s="5"/>
      <c r="X42" s="5"/>
      <c r="Y42" s="5"/>
      <c r="Z42" s="5"/>
      <c r="AA42" s="5"/>
      <c r="AB42" s="5"/>
      <c r="AC42" s="6"/>
      <c r="AD42" s="1"/>
      <c r="AE42"/>
      <c r="AF42"/>
      <c r="AG42"/>
      <c r="AH42"/>
    </row>
    <row r="43" spans="1:34" s="4" customFormat="1" ht="29" customHeight="1" thickBot="1" x14ac:dyDescent="0.4">
      <c r="A43" s="2"/>
      <c r="B43" s="287" t="s">
        <v>105</v>
      </c>
      <c r="C43" s="275"/>
      <c r="D43" s="275"/>
      <c r="E43" s="120"/>
      <c r="F43" s="121" t="s">
        <v>26</v>
      </c>
      <c r="G43" s="122">
        <f>ROUND(SUM(G41:G42), -2)</f>
        <v>7700</v>
      </c>
      <c r="I43" s="5"/>
      <c r="J43" s="5"/>
      <c r="K43" s="5"/>
      <c r="L43" s="5"/>
      <c r="M43" s="5"/>
      <c r="N43" s="5"/>
      <c r="O43" s="5"/>
      <c r="P43" s="5"/>
      <c r="Q43" s="3"/>
      <c r="R43" s="5"/>
      <c r="S43" s="3"/>
      <c r="T43" s="5"/>
      <c r="U43" s="5"/>
      <c r="V43" s="5"/>
      <c r="W43" s="5"/>
      <c r="X43" s="5"/>
      <c r="Y43" s="5"/>
      <c r="Z43" s="5"/>
      <c r="AA43" s="5"/>
      <c r="AB43" s="5"/>
      <c r="AC43" s="6"/>
      <c r="AD43" s="1"/>
      <c r="AE43"/>
      <c r="AF43"/>
      <c r="AG43"/>
      <c r="AH43"/>
    </row>
    <row r="44" spans="1:34" ht="16" customHeight="1" x14ac:dyDescent="0.35"/>
  </sheetData>
  <sheetProtection algorithmName="SHA-512" hashValue="SNXcq4mF7K+gxx9kJnEhWG5vZoToD19VaviCN9DtVRShBIkEUJxRTq9sLrQlWC+6OxhXoc0ECUEwpxz7JAjgDA==" saltValue="4zkWZ/qaqiii7IMzgrR38w==" spinCount="100000" sheet="1" objects="1" scenarios="1"/>
  <mergeCells count="11">
    <mergeCell ref="I20:M20"/>
    <mergeCell ref="I19:M19"/>
    <mergeCell ref="I12:M12"/>
    <mergeCell ref="I39:M39"/>
    <mergeCell ref="B2:G2"/>
    <mergeCell ref="B3:G3"/>
    <mergeCell ref="I4:L4"/>
    <mergeCell ref="I38:N38"/>
    <mergeCell ref="I28:M28"/>
    <mergeCell ref="I29:M29"/>
    <mergeCell ref="I18:M18"/>
  </mergeCells>
  <dataValidations count="5">
    <dataValidation allowBlank="1" showInputMessage="1" showErrorMessage="1" promptTitle="Bike Lane Ahead" prompt="Enter additional quanities for this type of sign, if desired or required." sqref="E23" xr:uid="{D9B25594-D9EB-44A5-8CE5-AC32DEF7427B}"/>
    <dataValidation allowBlank="1" showInputMessage="1" showErrorMessage="1" promptTitle="Bike Lane Ends" prompt="Enter additional quanities for this type of sign, if desired or required." sqref="E24" xr:uid="{0E0C67B0-1F58-4753-B0B7-6E698C69C154}"/>
    <dataValidation allowBlank="1" showInputMessage="1" showErrorMessage="1" promptTitle="Bikes May Use Full Lane" prompt="Enter additional quanities for this type of sign, if desired or required." sqref="E26" xr:uid="{ADB1DE36-A1E5-4650-BA3F-5D01C9CF7EE8}"/>
    <dataValidation allowBlank="1" showInputMessage="1" showErrorMessage="1" promptTitle="Green pavement marking" prompt="Green pavement marking is used to highlight conflict zones through intersections.  For this quantity, green pavement is calculated for each intersection and 10' to both sides of the intersection._x000a_" sqref="E16:E17" xr:uid="{F977344B-F91F-4EB5-81BD-76614E822970}"/>
    <dataValidation type="list" allowBlank="1" showInputMessage="1" showErrorMessage="1" sqref="E6" xr:uid="{332F1964-DC29-407E-BE16-A98F93042380}">
      <formula1>"ONE, BOTH"</formula1>
    </dataValidation>
  </dataValidations>
  <pageMargins left="0.25" right="0.25" top="0.75" bottom="0.75" header="0.3" footer="0.3"/>
  <pageSetup paperSize="3" scale="2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E8788-8A73-4E90-A987-32358D55AF2F}">
  <sheetPr codeName="Sheet12">
    <pageSetUpPr fitToPage="1"/>
  </sheetPr>
  <dimension ref="A1:AH48"/>
  <sheetViews>
    <sheetView topLeftCell="A40" zoomScaleNormal="100" workbookViewId="0">
      <selection activeCell="B48" sqref="B48"/>
    </sheetView>
  </sheetViews>
  <sheetFormatPr defaultRowHeight="14.5" x14ac:dyDescent="0.35"/>
  <cols>
    <col min="1" max="1" width="8.6328125" style="2" customWidth="1"/>
    <col min="2" max="2" width="39.6328125" style="1" customWidth="1"/>
    <col min="3" max="3" width="12.6328125" style="4" customWidth="1"/>
    <col min="4" max="4" width="9.6328125" style="4" customWidth="1"/>
    <col min="5" max="7" width="12.6328125" style="3" customWidth="1"/>
    <col min="8" max="8" width="13.90625" style="4" customWidth="1"/>
    <col min="9" max="9" width="55.6328125" style="5" customWidth="1"/>
    <col min="10" max="10" width="23.90625" style="5" customWidth="1"/>
    <col min="11" max="11" width="14" style="5" customWidth="1"/>
    <col min="12" max="16" width="12.6328125" style="5" customWidth="1"/>
    <col min="17" max="17" width="14.36328125" style="3" bestFit="1" customWidth="1"/>
    <col min="18" max="18" width="12.6328125" style="5" customWidth="1"/>
    <col min="19" max="19" width="10.6328125" style="3" customWidth="1"/>
    <col min="20" max="23" width="12.6328125" style="5" customWidth="1"/>
    <col min="24" max="24" width="14.36328125" style="5" customWidth="1"/>
    <col min="25" max="26" width="12.6328125" style="5" customWidth="1"/>
    <col min="27" max="27" width="15.36328125" style="5" customWidth="1"/>
    <col min="28" max="28" width="12.6328125" style="5" customWidth="1"/>
    <col min="29" max="29" width="12.6328125" style="6" customWidth="1"/>
    <col min="30" max="30" width="23" style="1" customWidth="1"/>
    <col min="32" max="32" width="9.6328125" bestFit="1" customWidth="1"/>
    <col min="33" max="33" width="11.6328125" bestFit="1" customWidth="1"/>
  </cols>
  <sheetData>
    <row r="1" spans="1:34" ht="15" thickBot="1" x14ac:dyDescent="0.4">
      <c r="A1" s="51"/>
      <c r="C1" s="2"/>
      <c r="H1" s="2"/>
      <c r="I1" s="116" t="s">
        <v>85</v>
      </c>
      <c r="J1" s="116"/>
      <c r="K1" s="116"/>
      <c r="L1" s="7"/>
      <c r="M1" s="7"/>
      <c r="N1" s="15"/>
      <c r="O1" s="7"/>
      <c r="P1" s="7"/>
      <c r="R1" s="7"/>
      <c r="T1" s="7"/>
      <c r="U1" s="7"/>
      <c r="V1" s="7"/>
      <c r="W1" s="7"/>
      <c r="X1" s="7"/>
      <c r="Y1" s="7"/>
      <c r="Z1" s="7"/>
      <c r="AA1" s="7"/>
      <c r="AB1" s="7"/>
      <c r="AC1" s="14"/>
      <c r="AD1" s="13"/>
      <c r="AF1" s="9"/>
      <c r="AG1" s="8"/>
    </row>
    <row r="2" spans="1:34" ht="48.25" customHeight="1" thickBot="1" x14ac:dyDescent="0.4">
      <c r="A2" s="10"/>
      <c r="B2" s="325" t="s">
        <v>120</v>
      </c>
      <c r="C2" s="326"/>
      <c r="D2" s="326"/>
      <c r="E2" s="326"/>
      <c r="F2" s="326"/>
      <c r="G2" s="327"/>
      <c r="H2" s="10"/>
      <c r="I2" s="276" t="s">
        <v>87</v>
      </c>
      <c r="J2" s="276"/>
      <c r="K2" s="276"/>
    </row>
    <row r="3" spans="1:34" s="5" customFormat="1" ht="8.15" customHeight="1" thickBot="1" x14ac:dyDescent="0.4">
      <c r="A3" s="10"/>
      <c r="B3" s="322" t="s">
        <v>116</v>
      </c>
      <c r="C3" s="322"/>
      <c r="D3" s="322"/>
      <c r="E3" s="322"/>
      <c r="F3" s="322"/>
      <c r="G3" s="322"/>
      <c r="H3" s="10"/>
      <c r="Q3" s="3"/>
      <c r="S3" s="3"/>
      <c r="AC3" s="6"/>
      <c r="AD3" s="1"/>
      <c r="AE3"/>
      <c r="AF3"/>
      <c r="AG3"/>
      <c r="AH3"/>
    </row>
    <row r="4" spans="1:34" s="5" customFormat="1" ht="44.9" customHeight="1" x14ac:dyDescent="0.35">
      <c r="A4" s="10"/>
      <c r="B4" s="92" t="s">
        <v>88</v>
      </c>
      <c r="C4" s="93"/>
      <c r="D4" s="93"/>
      <c r="E4" s="94" t="s">
        <v>75</v>
      </c>
      <c r="F4" s="95"/>
      <c r="G4" s="81"/>
      <c r="H4" s="10"/>
      <c r="I4" s="329" t="s">
        <v>324</v>
      </c>
      <c r="J4" s="329"/>
      <c r="K4" s="329"/>
      <c r="L4" s="329"/>
      <c r="Q4" s="3"/>
      <c r="S4" s="3"/>
      <c r="AC4" s="6"/>
      <c r="AD4" s="1"/>
      <c r="AE4"/>
      <c r="AF4"/>
      <c r="AG4"/>
      <c r="AH4"/>
    </row>
    <row r="5" spans="1:34" s="5" customFormat="1" ht="16" customHeight="1" x14ac:dyDescent="0.35">
      <c r="A5" s="10"/>
      <c r="B5" s="61" t="s">
        <v>76</v>
      </c>
      <c r="C5" s="62" t="s">
        <v>77</v>
      </c>
      <c r="E5" s="150">
        <v>0</v>
      </c>
      <c r="F5" s="17"/>
      <c r="G5" s="139"/>
      <c r="H5" s="10"/>
      <c r="I5" s="10" t="s">
        <v>90</v>
      </c>
      <c r="Q5" s="3"/>
      <c r="S5" s="3"/>
      <c r="AC5" s="6"/>
      <c r="AD5" s="1"/>
      <c r="AE5"/>
      <c r="AF5"/>
      <c r="AG5"/>
      <c r="AH5"/>
    </row>
    <row r="6" spans="1:34" s="5" customFormat="1" ht="29" x14ac:dyDescent="0.35">
      <c r="A6" s="10"/>
      <c r="B6" s="61" t="s">
        <v>107</v>
      </c>
      <c r="C6" s="62" t="s">
        <v>271</v>
      </c>
      <c r="D6" s="251"/>
      <c r="E6" s="268" t="s">
        <v>92</v>
      </c>
      <c r="F6" s="17"/>
      <c r="G6" s="139"/>
      <c r="I6" s="10" t="s">
        <v>308</v>
      </c>
      <c r="Q6" s="3"/>
      <c r="S6" s="3"/>
      <c r="AC6" s="6"/>
      <c r="AD6" s="1"/>
      <c r="AE6"/>
      <c r="AF6"/>
      <c r="AG6"/>
      <c r="AH6"/>
    </row>
    <row r="7" spans="1:34" s="5" customFormat="1" ht="16" customHeight="1" x14ac:dyDescent="0.35">
      <c r="A7" s="10"/>
      <c r="B7" s="61" t="s">
        <v>76</v>
      </c>
      <c r="C7" s="62" t="s">
        <v>31</v>
      </c>
      <c r="E7" s="117">
        <f>IF(E6="ONE", E5*5280, E5*2*5280)</f>
        <v>0</v>
      </c>
      <c r="F7" s="17"/>
      <c r="G7" s="139"/>
      <c r="H7" s="10"/>
      <c r="I7" s="10" t="s">
        <v>93</v>
      </c>
      <c r="Q7" s="3"/>
      <c r="S7" s="3"/>
      <c r="AC7" s="6"/>
      <c r="AD7" s="1"/>
      <c r="AE7"/>
      <c r="AF7"/>
      <c r="AG7"/>
      <c r="AH7"/>
    </row>
    <row r="8" spans="1:34" s="5" customFormat="1" ht="16" customHeight="1" x14ac:dyDescent="0.35">
      <c r="A8" s="10"/>
      <c r="B8" s="22" t="s">
        <v>78</v>
      </c>
      <c r="C8" s="2" t="s">
        <v>28</v>
      </c>
      <c r="E8" s="134">
        <v>0</v>
      </c>
      <c r="F8" s="17"/>
      <c r="G8" s="139"/>
      <c r="H8" s="10"/>
      <c r="I8" s="10" t="s">
        <v>94</v>
      </c>
      <c r="Q8" s="3"/>
      <c r="S8" s="3"/>
      <c r="AC8" s="6"/>
      <c r="AD8" s="1"/>
      <c r="AE8"/>
      <c r="AF8"/>
      <c r="AG8"/>
      <c r="AH8"/>
    </row>
    <row r="9" spans="1:34" s="5" customFormat="1" ht="16" customHeight="1" x14ac:dyDescent="0.35">
      <c r="A9" s="10"/>
      <c r="B9" s="23" t="s">
        <v>79</v>
      </c>
      <c r="C9" s="34" t="s">
        <v>31</v>
      </c>
      <c r="E9" s="134">
        <v>0</v>
      </c>
      <c r="F9" s="17"/>
      <c r="G9" s="139"/>
      <c r="H9" s="10"/>
      <c r="I9" s="10" t="s">
        <v>96</v>
      </c>
      <c r="Q9" s="3"/>
      <c r="S9" s="3"/>
      <c r="AC9" s="6"/>
      <c r="AD9" s="1"/>
      <c r="AE9"/>
      <c r="AF9"/>
      <c r="AG9"/>
      <c r="AH9"/>
    </row>
    <row r="10" spans="1:34" s="5" customFormat="1" ht="16" customHeight="1" x14ac:dyDescent="0.35">
      <c r="A10" s="10"/>
      <c r="B10" s="23"/>
      <c r="C10" s="34"/>
      <c r="E10" s="63"/>
      <c r="F10" s="190"/>
      <c r="G10" s="139"/>
      <c r="H10" s="10"/>
      <c r="I10" s="10" t="s">
        <v>26</v>
      </c>
      <c r="Q10" s="3"/>
      <c r="S10" s="3"/>
      <c r="AC10" s="6"/>
      <c r="AD10" s="1"/>
      <c r="AE10"/>
      <c r="AF10"/>
      <c r="AG10"/>
      <c r="AH10"/>
    </row>
    <row r="11" spans="1:34" s="5" customFormat="1" ht="29" customHeight="1" x14ac:dyDescent="0.35">
      <c r="A11" s="10"/>
      <c r="B11" s="96" t="s">
        <v>25</v>
      </c>
      <c r="C11" s="97"/>
      <c r="D11" s="85"/>
      <c r="E11" s="97" t="s">
        <v>75</v>
      </c>
      <c r="F11" s="97" t="s">
        <v>97</v>
      </c>
      <c r="G11" s="218" t="s">
        <v>98</v>
      </c>
      <c r="H11" s="10"/>
      <c r="I11" s="10"/>
      <c r="J11" s="130"/>
      <c r="Q11" s="3"/>
      <c r="S11" s="3"/>
      <c r="AC11" s="6"/>
      <c r="AD11" s="1"/>
      <c r="AE11"/>
      <c r="AF11"/>
      <c r="AG11"/>
      <c r="AH11"/>
    </row>
    <row r="12" spans="1:34" s="5" customFormat="1" ht="16" customHeight="1" x14ac:dyDescent="0.35">
      <c r="A12" s="10"/>
      <c r="B12" s="23" t="s">
        <v>29</v>
      </c>
      <c r="C12" s="34" t="s">
        <v>28</v>
      </c>
      <c r="D12" s="34"/>
      <c r="E12" s="63">
        <f>E7/(5280/4)+E8</f>
        <v>0</v>
      </c>
      <c r="F12" s="190">
        <f>'Master List of Items'!E19</f>
        <v>300</v>
      </c>
      <c r="G12" s="60">
        <f>F12*E12</f>
        <v>0</v>
      </c>
      <c r="H12" s="10"/>
      <c r="I12" s="10" t="s">
        <v>170</v>
      </c>
      <c r="Q12" s="3"/>
      <c r="S12" s="3"/>
      <c r="AC12" s="6"/>
      <c r="AD12" s="1"/>
      <c r="AE12"/>
      <c r="AF12"/>
      <c r="AG12"/>
      <c r="AH12"/>
    </row>
    <row r="13" spans="1:34" s="5" customFormat="1" ht="16" customHeight="1" x14ac:dyDescent="0.35">
      <c r="A13" s="10"/>
      <c r="B13" s="32" t="s">
        <v>30</v>
      </c>
      <c r="C13" s="34" t="s">
        <v>31</v>
      </c>
      <c r="D13" s="34"/>
      <c r="E13" s="108">
        <f>(E7-E8*E9)*2</f>
        <v>0</v>
      </c>
      <c r="F13" s="190">
        <f>'Master List of Items'!E20</f>
        <v>5</v>
      </c>
      <c r="G13" s="60">
        <f>F13*E13</f>
        <v>0</v>
      </c>
      <c r="H13" s="10"/>
      <c r="I13" s="10" t="s">
        <v>309</v>
      </c>
      <c r="Q13" s="3"/>
      <c r="S13" s="3"/>
      <c r="AC13" s="6"/>
      <c r="AD13" s="1"/>
      <c r="AE13"/>
      <c r="AF13"/>
      <c r="AG13"/>
      <c r="AH13"/>
    </row>
    <row r="14" spans="1:34" s="5" customFormat="1" ht="29" customHeight="1" x14ac:dyDescent="0.35">
      <c r="A14" s="10"/>
      <c r="B14" s="32" t="s">
        <v>80</v>
      </c>
      <c r="C14" s="34" t="s">
        <v>31</v>
      </c>
      <c r="D14" s="34"/>
      <c r="E14" s="118">
        <v>0</v>
      </c>
      <c r="F14" s="190">
        <f>'Master List of Items'!E21</f>
        <v>1.25</v>
      </c>
      <c r="G14" s="60">
        <f>F14*E14</f>
        <v>0</v>
      </c>
      <c r="H14" s="10"/>
      <c r="I14" s="209" t="s">
        <v>201</v>
      </c>
      <c r="Q14" s="3"/>
      <c r="S14" s="3"/>
      <c r="AC14" s="6"/>
      <c r="AD14" s="1"/>
      <c r="AE14"/>
      <c r="AF14"/>
      <c r="AG14"/>
      <c r="AH14"/>
    </row>
    <row r="15" spans="1:34" s="5" customFormat="1" ht="16" customHeight="1" x14ac:dyDescent="0.35">
      <c r="A15" s="10"/>
      <c r="B15" s="32" t="s">
        <v>34</v>
      </c>
      <c r="C15" s="34" t="s">
        <v>31</v>
      </c>
      <c r="D15" s="34"/>
      <c r="E15" s="118">
        <v>0</v>
      </c>
      <c r="F15" s="190">
        <f>'Master List of Items'!E22</f>
        <v>5</v>
      </c>
      <c r="G15" s="60">
        <f>F15*E15</f>
        <v>0</v>
      </c>
      <c r="H15" s="10"/>
      <c r="I15" s="208" t="s">
        <v>200</v>
      </c>
      <c r="Q15" s="3"/>
      <c r="S15" s="3"/>
      <c r="AC15" s="6"/>
      <c r="AD15" s="1"/>
      <c r="AE15"/>
      <c r="AF15"/>
      <c r="AG15"/>
      <c r="AH15"/>
    </row>
    <row r="16" spans="1:34" s="5" customFormat="1" ht="16" customHeight="1" x14ac:dyDescent="0.35">
      <c r="A16" s="10"/>
      <c r="B16" s="61" t="s">
        <v>81</v>
      </c>
      <c r="C16" s="34" t="s">
        <v>36</v>
      </c>
      <c r="D16" s="34"/>
      <c r="E16" s="63">
        <f>E8*(E9+10+10)*6</f>
        <v>0</v>
      </c>
      <c r="F16" s="190">
        <f>'Master List of Items'!E23</f>
        <v>20</v>
      </c>
      <c r="G16" s="60">
        <f>F16*E16</f>
        <v>0</v>
      </c>
      <c r="H16" s="10"/>
      <c r="I16" s="36" t="s">
        <v>111</v>
      </c>
      <c r="Q16" s="3"/>
      <c r="S16" s="3"/>
      <c r="AC16" s="6"/>
      <c r="AD16" s="1"/>
      <c r="AE16"/>
      <c r="AF16"/>
      <c r="AG16"/>
      <c r="AH16"/>
    </row>
    <row r="17" spans="1:34" s="5" customFormat="1" ht="29" customHeight="1" x14ac:dyDescent="0.35">
      <c r="A17" s="10"/>
      <c r="B17" s="96" t="s">
        <v>276</v>
      </c>
      <c r="C17" s="240"/>
      <c r="D17" s="98" t="s">
        <v>133</v>
      </c>
      <c r="E17" s="98" t="s">
        <v>278</v>
      </c>
      <c r="F17" s="241" t="s">
        <v>97</v>
      </c>
      <c r="G17" s="84" t="s">
        <v>98</v>
      </c>
      <c r="H17" s="10"/>
      <c r="I17" s="36"/>
      <c r="Q17" s="3"/>
      <c r="S17" s="3"/>
      <c r="AC17" s="6"/>
      <c r="AD17" s="1"/>
      <c r="AE17"/>
      <c r="AF17"/>
      <c r="AG17"/>
      <c r="AH17"/>
    </row>
    <row r="18" spans="1:34" s="5" customFormat="1" ht="29" customHeight="1" x14ac:dyDescent="0.35">
      <c r="A18" s="10"/>
      <c r="B18" s="136" t="s">
        <v>288</v>
      </c>
      <c r="C18" s="34" t="s">
        <v>277</v>
      </c>
      <c r="D18" s="118">
        <v>0</v>
      </c>
      <c r="E18" s="118">
        <v>0</v>
      </c>
      <c r="F18" s="26">
        <f>'Master List of Items'!E25</f>
        <v>6</v>
      </c>
      <c r="G18" s="60">
        <f>D18*E18/9*F18</f>
        <v>0</v>
      </c>
      <c r="H18" s="10"/>
      <c r="I18" s="330" t="s">
        <v>289</v>
      </c>
      <c r="J18" s="330"/>
      <c r="K18" s="330"/>
      <c r="L18" s="330"/>
      <c r="M18" s="330"/>
      <c r="N18" s="330"/>
      <c r="Q18" s="3"/>
      <c r="S18" s="3"/>
      <c r="AC18" s="6"/>
      <c r="AD18" s="1"/>
      <c r="AE18"/>
      <c r="AF18"/>
      <c r="AG18"/>
      <c r="AH18"/>
    </row>
    <row r="19" spans="1:34" s="5" customFormat="1" ht="29" customHeight="1" x14ac:dyDescent="0.35">
      <c r="A19" s="10"/>
      <c r="B19" s="242" t="s">
        <v>280</v>
      </c>
      <c r="C19" s="34" t="s">
        <v>277</v>
      </c>
      <c r="D19" s="118">
        <v>0</v>
      </c>
      <c r="E19" s="118">
        <v>0</v>
      </c>
      <c r="F19" s="26">
        <f>'Master List of Items'!E26</f>
        <v>5</v>
      </c>
      <c r="G19" s="60">
        <f>D19*E19/9*F19</f>
        <v>0</v>
      </c>
      <c r="H19" s="10"/>
      <c r="I19" s="330" t="s">
        <v>283</v>
      </c>
      <c r="J19" s="330"/>
      <c r="K19" s="330"/>
      <c r="L19" s="330"/>
      <c r="M19" s="330"/>
      <c r="N19" s="330"/>
      <c r="O19" s="37"/>
      <c r="Q19" s="3"/>
      <c r="S19" s="3"/>
      <c r="AC19" s="6"/>
      <c r="AD19" s="1"/>
      <c r="AE19"/>
      <c r="AF19"/>
      <c r="AG19"/>
      <c r="AH19"/>
    </row>
    <row r="20" spans="1:34" s="5" customFormat="1" ht="29" customHeight="1" x14ac:dyDescent="0.35">
      <c r="A20" s="10"/>
      <c r="B20" s="242" t="s">
        <v>281</v>
      </c>
      <c r="C20" s="34" t="s">
        <v>279</v>
      </c>
      <c r="D20" s="118">
        <v>0</v>
      </c>
      <c r="E20" s="118">
        <v>0</v>
      </c>
      <c r="F20" s="26">
        <f>'Master List of Items'!E27</f>
        <v>130</v>
      </c>
      <c r="G20" s="60">
        <f>(D20*E20/9)*1/17*F20</f>
        <v>0</v>
      </c>
      <c r="H20" s="10"/>
      <c r="I20" s="330" t="s">
        <v>282</v>
      </c>
      <c r="J20" s="330"/>
      <c r="K20" s="330"/>
      <c r="L20" s="330"/>
      <c r="M20" s="330"/>
      <c r="N20" s="330"/>
      <c r="O20" s="37"/>
      <c r="Q20" s="3"/>
      <c r="S20" s="3"/>
      <c r="AC20" s="6"/>
      <c r="AD20" s="1"/>
      <c r="AE20"/>
      <c r="AF20"/>
      <c r="AG20"/>
      <c r="AH20"/>
    </row>
    <row r="21" spans="1:34" ht="29" customHeight="1" x14ac:dyDescent="0.35">
      <c r="B21" s="96" t="s">
        <v>37</v>
      </c>
      <c r="C21" s="97" t="s">
        <v>226</v>
      </c>
      <c r="D21" s="98" t="s">
        <v>228</v>
      </c>
      <c r="E21" s="99" t="s">
        <v>75</v>
      </c>
      <c r="F21" s="97" t="s">
        <v>270</v>
      </c>
      <c r="G21" s="218" t="s">
        <v>98</v>
      </c>
    </row>
    <row r="22" spans="1:34" ht="16" customHeight="1" x14ac:dyDescent="0.35">
      <c r="B22" s="52" t="s">
        <v>39</v>
      </c>
      <c r="C22" s="25" t="s">
        <v>40</v>
      </c>
      <c r="D22" s="20">
        <v>3</v>
      </c>
      <c r="E22" s="63">
        <f>E5*2+E8</f>
        <v>0</v>
      </c>
      <c r="F22" s="26">
        <f>'Master List of Items'!E29</f>
        <v>500</v>
      </c>
      <c r="G22" s="27">
        <f>E22*F22*D22</f>
        <v>0</v>
      </c>
      <c r="I22" s="36" t="s">
        <v>204</v>
      </c>
    </row>
    <row r="23" spans="1:34" s="4" customFormat="1" ht="16" customHeight="1" x14ac:dyDescent="0.35">
      <c r="A23" s="2"/>
      <c r="B23" s="52" t="s">
        <v>42</v>
      </c>
      <c r="C23" s="25" t="s">
        <v>43</v>
      </c>
      <c r="D23" s="33">
        <v>1.3</v>
      </c>
      <c r="E23" s="118">
        <v>0</v>
      </c>
      <c r="F23" s="26">
        <f>'Master List of Items'!E30</f>
        <v>500</v>
      </c>
      <c r="G23" s="60">
        <f t="shared" ref="G23:G26" si="0">E23*F23*D23</f>
        <v>0</v>
      </c>
      <c r="I23" s="36" t="s">
        <v>224</v>
      </c>
      <c r="J23" s="5"/>
      <c r="K23" s="5"/>
      <c r="L23" s="5"/>
      <c r="M23" s="5"/>
      <c r="N23" s="5"/>
      <c r="O23" s="5"/>
      <c r="P23" s="5"/>
      <c r="Q23" s="3"/>
      <c r="R23" s="5"/>
      <c r="S23" s="3"/>
      <c r="T23" s="5"/>
      <c r="U23" s="5"/>
      <c r="V23" s="5"/>
      <c r="W23" s="5"/>
      <c r="X23" s="5"/>
      <c r="Y23" s="5"/>
      <c r="Z23" s="5"/>
      <c r="AA23" s="5"/>
      <c r="AB23" s="5"/>
      <c r="AC23" s="6"/>
      <c r="AD23" s="1"/>
      <c r="AE23"/>
      <c r="AF23"/>
      <c r="AG23"/>
      <c r="AH23"/>
    </row>
    <row r="24" spans="1:34" s="4" customFormat="1" ht="16" customHeight="1" x14ac:dyDescent="0.35">
      <c r="A24" s="2"/>
      <c r="B24" s="52" t="s">
        <v>44</v>
      </c>
      <c r="C24" s="25" t="s">
        <v>43</v>
      </c>
      <c r="D24" s="33">
        <v>1.3</v>
      </c>
      <c r="E24" s="118">
        <v>0</v>
      </c>
      <c r="F24" s="26">
        <f>'Master List of Items'!E31</f>
        <v>500</v>
      </c>
      <c r="G24" s="60">
        <f t="shared" si="0"/>
        <v>0</v>
      </c>
      <c r="I24" s="36" t="s">
        <v>224</v>
      </c>
      <c r="J24" s="5"/>
      <c r="K24" s="5"/>
      <c r="L24" s="5"/>
      <c r="M24" s="5"/>
      <c r="N24" s="5"/>
      <c r="O24" s="5"/>
      <c r="P24" s="5"/>
      <c r="Q24" s="3"/>
      <c r="R24" s="5"/>
      <c r="S24" s="3"/>
      <c r="T24" s="5"/>
      <c r="U24" s="5"/>
      <c r="V24" s="5"/>
      <c r="W24" s="5"/>
      <c r="X24" s="5"/>
      <c r="Y24" s="5"/>
      <c r="Z24" s="5"/>
      <c r="AA24" s="5"/>
      <c r="AB24" s="5"/>
      <c r="AC24" s="6"/>
      <c r="AD24" s="1"/>
      <c r="AE24"/>
      <c r="AF24"/>
      <c r="AG24"/>
      <c r="AH24"/>
    </row>
    <row r="25" spans="1:34" s="4" customFormat="1" ht="16" customHeight="1" x14ac:dyDescent="0.35">
      <c r="A25" s="2"/>
      <c r="B25" s="52" t="s">
        <v>45</v>
      </c>
      <c r="C25" s="25" t="s">
        <v>46</v>
      </c>
      <c r="D25" s="33">
        <v>7.5</v>
      </c>
      <c r="E25" s="117">
        <f>IF(E6="ONE", E8, E8*2)</f>
        <v>0</v>
      </c>
      <c r="F25" s="26">
        <f>'Master List of Items'!E32</f>
        <v>500</v>
      </c>
      <c r="G25" s="60">
        <f>E25*F25*D25</f>
        <v>0</v>
      </c>
      <c r="I25" s="36" t="s">
        <v>225</v>
      </c>
      <c r="J25" s="5"/>
      <c r="K25" s="5"/>
      <c r="L25" s="5"/>
      <c r="M25" s="5"/>
      <c r="N25" s="5"/>
      <c r="O25" s="5"/>
      <c r="P25" s="5"/>
      <c r="Q25" s="3"/>
      <c r="R25" s="5"/>
      <c r="S25" s="3"/>
      <c r="T25" s="5"/>
      <c r="U25" s="5"/>
      <c r="V25" s="5"/>
      <c r="W25" s="5"/>
      <c r="X25" s="5"/>
      <c r="Y25" s="5"/>
      <c r="Z25" s="5"/>
      <c r="AA25" s="5"/>
      <c r="AB25" s="5"/>
      <c r="AC25" s="6"/>
      <c r="AD25" s="1"/>
      <c r="AE25"/>
      <c r="AF25"/>
      <c r="AG25"/>
      <c r="AH25"/>
    </row>
    <row r="26" spans="1:34" s="4" customFormat="1" ht="16" customHeight="1" x14ac:dyDescent="0.35">
      <c r="A26" s="2"/>
      <c r="B26" s="52" t="s">
        <v>47</v>
      </c>
      <c r="C26" s="25" t="s">
        <v>48</v>
      </c>
      <c r="D26" s="33">
        <v>6.25</v>
      </c>
      <c r="E26" s="119">
        <v>0</v>
      </c>
      <c r="F26" s="26">
        <f>'Master List of Items'!E33</f>
        <v>500</v>
      </c>
      <c r="G26" s="60">
        <f t="shared" si="0"/>
        <v>0</v>
      </c>
      <c r="I26" s="36" t="s">
        <v>224</v>
      </c>
      <c r="J26" s="5"/>
      <c r="K26" s="5"/>
      <c r="L26" s="5"/>
      <c r="M26" s="5"/>
      <c r="N26" s="5"/>
      <c r="O26" s="5"/>
      <c r="P26" s="5"/>
      <c r="Q26" s="3"/>
      <c r="R26" s="5"/>
      <c r="S26" s="3"/>
      <c r="T26" s="5"/>
      <c r="U26" s="5"/>
      <c r="V26" s="5"/>
      <c r="W26" s="5"/>
      <c r="X26" s="5"/>
      <c r="Y26" s="5"/>
      <c r="Z26" s="5"/>
      <c r="AA26" s="5"/>
      <c r="AB26" s="5"/>
      <c r="AC26" s="6"/>
      <c r="AD26" s="1"/>
      <c r="AE26"/>
      <c r="AF26"/>
      <c r="AG26"/>
      <c r="AH26"/>
    </row>
    <row r="27" spans="1:34" s="4" customFormat="1" ht="29" customHeight="1" x14ac:dyDescent="0.35">
      <c r="A27" s="2"/>
      <c r="B27" s="96" t="s">
        <v>51</v>
      </c>
      <c r="C27" s="97" t="s">
        <v>114</v>
      </c>
      <c r="D27" s="97" t="s">
        <v>26</v>
      </c>
      <c r="E27" s="99" t="s">
        <v>75</v>
      </c>
      <c r="F27" s="97" t="s">
        <v>97</v>
      </c>
      <c r="G27" s="218" t="s">
        <v>98</v>
      </c>
      <c r="I27" s="36"/>
      <c r="J27" s="5"/>
      <c r="K27" s="5"/>
      <c r="L27" s="5"/>
      <c r="M27" s="5"/>
      <c r="N27" s="5"/>
      <c r="O27" s="5"/>
      <c r="P27" s="5"/>
      <c r="Q27" s="3"/>
      <c r="R27" s="5"/>
      <c r="S27" s="3"/>
      <c r="T27" s="5"/>
      <c r="U27" s="5"/>
      <c r="V27" s="5"/>
      <c r="W27" s="5"/>
      <c r="X27" s="5"/>
      <c r="Y27" s="5"/>
      <c r="Z27" s="5"/>
      <c r="AA27" s="5"/>
      <c r="AB27" s="5"/>
      <c r="AC27" s="6"/>
      <c r="AD27" s="1"/>
      <c r="AE27"/>
      <c r="AF27"/>
      <c r="AG27"/>
      <c r="AH27"/>
    </row>
    <row r="28" spans="1:34" s="4" customFormat="1" ht="16" customHeight="1" x14ac:dyDescent="0.35">
      <c r="A28" s="2"/>
      <c r="B28" s="52" t="s">
        <v>176</v>
      </c>
      <c r="C28" s="230">
        <v>0</v>
      </c>
      <c r="D28" s="25" t="s">
        <v>116</v>
      </c>
      <c r="E28" s="191">
        <f>C28/10</f>
        <v>0</v>
      </c>
      <c r="F28" s="26">
        <f>'Master List of Items'!E37</f>
        <v>225</v>
      </c>
      <c r="G28" s="27">
        <f>E28*F28</f>
        <v>0</v>
      </c>
      <c r="I28" s="36" t="s">
        <v>117</v>
      </c>
      <c r="J28" s="5"/>
      <c r="K28" s="5"/>
      <c r="L28" s="5"/>
      <c r="M28" s="5"/>
      <c r="N28" s="5"/>
      <c r="O28" s="5"/>
      <c r="P28" s="5"/>
      <c r="Q28" s="3"/>
      <c r="R28" s="5"/>
      <c r="S28" s="3"/>
      <c r="T28" s="5"/>
      <c r="U28" s="5"/>
      <c r="V28" s="5"/>
      <c r="W28" s="5"/>
      <c r="X28" s="5"/>
      <c r="Y28" s="5"/>
      <c r="Z28" s="5"/>
      <c r="AA28" s="5"/>
      <c r="AB28" s="5"/>
      <c r="AC28" s="6"/>
      <c r="AD28" s="1"/>
      <c r="AE28"/>
      <c r="AF28"/>
      <c r="AG28"/>
      <c r="AH28"/>
    </row>
    <row r="29" spans="1:34" s="4" customFormat="1" ht="87" x14ac:dyDescent="0.35">
      <c r="A29" s="2"/>
      <c r="B29" s="52" t="s">
        <v>291</v>
      </c>
      <c r="C29" s="230">
        <v>0</v>
      </c>
      <c r="D29" s="278" t="s">
        <v>292</v>
      </c>
      <c r="E29" s="34"/>
      <c r="F29" s="26">
        <f>'Master List of Items'!E38</f>
        <v>400</v>
      </c>
      <c r="G29" s="27">
        <f>C29*F29</f>
        <v>0</v>
      </c>
      <c r="I29" s="5" t="s">
        <v>293</v>
      </c>
      <c r="J29" s="5"/>
      <c r="K29" s="5"/>
      <c r="L29" s="5"/>
      <c r="M29" s="5"/>
      <c r="N29" s="5"/>
      <c r="O29" s="5"/>
      <c r="P29" s="5"/>
      <c r="Q29" s="3"/>
      <c r="R29" s="5"/>
      <c r="S29" s="3"/>
      <c r="T29" s="5"/>
      <c r="U29" s="5"/>
      <c r="V29" s="5"/>
      <c r="W29" s="5"/>
      <c r="X29" s="5"/>
      <c r="Y29" s="5"/>
      <c r="Z29" s="5"/>
      <c r="AA29" s="5"/>
      <c r="AB29" s="5"/>
      <c r="AC29" s="6"/>
      <c r="AD29" s="1"/>
      <c r="AE29"/>
      <c r="AF29"/>
      <c r="AG29"/>
      <c r="AH29"/>
    </row>
    <row r="30" spans="1:34" s="4" customFormat="1" ht="16" customHeight="1" x14ac:dyDescent="0.35">
      <c r="A30" s="2"/>
      <c r="B30" s="52" t="s">
        <v>118</v>
      </c>
      <c r="C30" s="230">
        <v>0</v>
      </c>
      <c r="D30" s="26"/>
      <c r="E30" s="191">
        <f>C30/31</f>
        <v>0</v>
      </c>
      <c r="F30" s="26">
        <f>'Master List of Items'!E39</f>
        <v>2300</v>
      </c>
      <c r="G30" s="27">
        <f t="shared" ref="G30" si="1">E30*F30</f>
        <v>0</v>
      </c>
      <c r="I30" s="36" t="s">
        <v>119</v>
      </c>
      <c r="J30" s="5"/>
      <c r="K30" s="5"/>
      <c r="L30" s="5"/>
      <c r="M30" s="5"/>
      <c r="N30" s="5"/>
      <c r="O30" s="5"/>
      <c r="P30" s="5"/>
      <c r="Q30" s="3"/>
      <c r="R30" s="5"/>
      <c r="S30" s="3"/>
      <c r="T30" s="5"/>
      <c r="U30" s="5"/>
      <c r="V30" s="5"/>
      <c r="W30" s="5"/>
      <c r="X30" s="5"/>
      <c r="Y30" s="5"/>
      <c r="Z30" s="5"/>
      <c r="AA30" s="5"/>
      <c r="AB30" s="5"/>
      <c r="AC30" s="6"/>
      <c r="AD30" s="1"/>
      <c r="AE30"/>
      <c r="AF30"/>
      <c r="AG30"/>
      <c r="AH30"/>
    </row>
    <row r="31" spans="1:34" s="4" customFormat="1" ht="16" customHeight="1" x14ac:dyDescent="0.35">
      <c r="A31" s="2"/>
      <c r="B31" s="52" t="s">
        <v>266</v>
      </c>
      <c r="C31" s="230">
        <v>0</v>
      </c>
      <c r="D31" s="26"/>
      <c r="E31" s="26"/>
      <c r="F31" s="26">
        <f>'Master List of Items'!E40</f>
        <v>250</v>
      </c>
      <c r="G31" s="27">
        <f>C31*F31</f>
        <v>0</v>
      </c>
      <c r="I31" s="36" t="s">
        <v>265</v>
      </c>
      <c r="J31" s="5"/>
      <c r="K31" s="5"/>
      <c r="L31" s="5"/>
      <c r="M31" s="5"/>
      <c r="N31" s="5"/>
      <c r="O31" s="5"/>
      <c r="P31" s="5"/>
      <c r="Q31" s="3"/>
      <c r="R31" s="5"/>
      <c r="S31" s="3"/>
      <c r="T31" s="5"/>
      <c r="U31" s="5"/>
      <c r="V31" s="5"/>
      <c r="W31" s="5"/>
      <c r="X31" s="5"/>
      <c r="Y31" s="5"/>
      <c r="Z31" s="5"/>
      <c r="AA31" s="5"/>
      <c r="AB31" s="5"/>
      <c r="AC31" s="6"/>
      <c r="AD31" s="1"/>
      <c r="AE31"/>
      <c r="AF31"/>
      <c r="AG31"/>
      <c r="AH31"/>
    </row>
    <row r="32" spans="1:34" s="4" customFormat="1" ht="29" customHeight="1" x14ac:dyDescent="0.35">
      <c r="A32" s="2"/>
      <c r="B32" s="82" t="s">
        <v>78</v>
      </c>
      <c r="C32" s="192"/>
      <c r="D32" s="193"/>
      <c r="E32" s="99" t="s">
        <v>75</v>
      </c>
      <c r="F32" s="97" t="s">
        <v>97</v>
      </c>
      <c r="G32" s="218" t="s">
        <v>98</v>
      </c>
      <c r="I32" s="5"/>
      <c r="J32" s="5"/>
      <c r="K32" s="5"/>
      <c r="L32" s="5"/>
      <c r="M32" s="5"/>
      <c r="N32" s="5"/>
      <c r="O32" s="5"/>
      <c r="P32" s="5"/>
      <c r="Q32" s="3"/>
      <c r="R32" s="5"/>
      <c r="S32" s="3"/>
      <c r="T32" s="5"/>
      <c r="U32" s="5"/>
      <c r="V32" s="5"/>
      <c r="W32" s="5"/>
      <c r="X32" s="5"/>
      <c r="Y32" s="5"/>
      <c r="Z32" s="5"/>
      <c r="AA32" s="5"/>
      <c r="AB32" s="5"/>
      <c r="AC32" s="6"/>
      <c r="AD32" s="1"/>
      <c r="AE32"/>
      <c r="AF32"/>
      <c r="AG32"/>
      <c r="AH32"/>
    </row>
    <row r="33" spans="1:34" s="4" customFormat="1" ht="43.5" customHeight="1" x14ac:dyDescent="0.35">
      <c r="A33" s="2"/>
      <c r="B33" s="52" t="s">
        <v>241</v>
      </c>
      <c r="C33" s="187" t="s">
        <v>55</v>
      </c>
      <c r="D33" s="189"/>
      <c r="E33" s="196">
        <v>0</v>
      </c>
      <c r="F33" s="188">
        <f>'Master List of Items'!E42</f>
        <v>20000</v>
      </c>
      <c r="G33" s="149">
        <f>E33*F33</f>
        <v>0</v>
      </c>
      <c r="I33" s="330" t="s">
        <v>245</v>
      </c>
      <c r="J33" s="330"/>
      <c r="K33" s="330"/>
      <c r="L33" s="330"/>
      <c r="M33" s="330"/>
      <c r="N33" s="5"/>
      <c r="O33" s="5"/>
      <c r="P33" s="5"/>
      <c r="Q33" s="3"/>
      <c r="R33" s="5"/>
      <c r="S33" s="3"/>
      <c r="T33" s="5"/>
      <c r="U33" s="5"/>
      <c r="V33" s="5"/>
      <c r="W33" s="5"/>
      <c r="X33" s="5"/>
      <c r="Y33" s="5"/>
      <c r="Z33" s="5"/>
      <c r="AA33" s="5"/>
      <c r="AB33" s="5"/>
      <c r="AC33" s="6"/>
      <c r="AD33" s="1"/>
      <c r="AE33"/>
      <c r="AF33"/>
      <c r="AG33"/>
      <c r="AH33"/>
    </row>
    <row r="34" spans="1:34" s="4" customFormat="1" ht="43.5" customHeight="1" x14ac:dyDescent="0.35">
      <c r="A34" s="2"/>
      <c r="B34" s="194" t="s">
        <v>242</v>
      </c>
      <c r="C34" s="187" t="s">
        <v>55</v>
      </c>
      <c r="D34" s="189"/>
      <c r="E34" s="196">
        <v>0</v>
      </c>
      <c r="F34" s="188">
        <f>'Master List of Items'!E43</f>
        <v>30000</v>
      </c>
      <c r="G34" s="149">
        <f>E34*F34</f>
        <v>0</v>
      </c>
      <c r="I34" s="330" t="s">
        <v>181</v>
      </c>
      <c r="J34" s="330"/>
      <c r="K34" s="330"/>
      <c r="L34" s="330"/>
      <c r="M34" s="330"/>
      <c r="N34" s="5"/>
      <c r="O34" s="5"/>
      <c r="P34" s="5"/>
      <c r="Q34" s="3"/>
      <c r="R34" s="5"/>
      <c r="S34" s="3"/>
      <c r="T34" s="5"/>
      <c r="U34" s="5"/>
      <c r="V34" s="5"/>
      <c r="W34" s="5"/>
      <c r="X34" s="5"/>
      <c r="Y34" s="5"/>
      <c r="Z34" s="5"/>
      <c r="AA34" s="5"/>
      <c r="AB34" s="5"/>
      <c r="AC34" s="6"/>
      <c r="AD34" s="1"/>
      <c r="AE34"/>
      <c r="AF34"/>
      <c r="AG34"/>
      <c r="AH34"/>
    </row>
    <row r="35" spans="1:34" ht="29" customHeight="1" x14ac:dyDescent="0.35">
      <c r="B35" s="128" t="s">
        <v>121</v>
      </c>
      <c r="C35" s="124"/>
      <c r="D35" s="125"/>
      <c r="E35" s="99" t="s">
        <v>75</v>
      </c>
      <c r="F35" s="97" t="s">
        <v>97</v>
      </c>
      <c r="G35" s="218" t="s">
        <v>98</v>
      </c>
      <c r="Q35" s="5"/>
    </row>
    <row r="36" spans="1:34" ht="16" customHeight="1" x14ac:dyDescent="0.35">
      <c r="B36" s="54" t="s">
        <v>57</v>
      </c>
      <c r="C36" s="25" t="s">
        <v>28</v>
      </c>
      <c r="D36" s="189"/>
      <c r="E36" s="196">
        <v>0</v>
      </c>
      <c r="F36" s="26">
        <f>'Master List of Items'!E46</f>
        <v>22000</v>
      </c>
      <c r="G36" s="27">
        <f>E36*F36</f>
        <v>0</v>
      </c>
      <c r="I36" s="130"/>
    </row>
    <row r="37" spans="1:34" ht="16" customHeight="1" x14ac:dyDescent="0.35">
      <c r="B37" s="54" t="s">
        <v>59</v>
      </c>
      <c r="C37" s="25" t="s">
        <v>28</v>
      </c>
      <c r="D37" s="189"/>
      <c r="E37" s="196">
        <v>0</v>
      </c>
      <c r="F37" s="26">
        <f>'Master List of Items'!E47</f>
        <v>30000</v>
      </c>
      <c r="G37" s="27">
        <f t="shared" ref="G37:G39" si="2">E37*F37</f>
        <v>0</v>
      </c>
      <c r="I37" s="36" t="s">
        <v>122</v>
      </c>
    </row>
    <row r="38" spans="1:34" ht="16" customHeight="1" x14ac:dyDescent="0.35">
      <c r="B38" s="54" t="s">
        <v>60</v>
      </c>
      <c r="C38" s="25" t="s">
        <v>28</v>
      </c>
      <c r="D38" s="189"/>
      <c r="E38" s="196">
        <v>0</v>
      </c>
      <c r="F38" s="26">
        <f>'Master List of Items'!E48</f>
        <v>13000</v>
      </c>
      <c r="G38" s="27">
        <f t="shared" si="2"/>
        <v>0</v>
      </c>
      <c r="I38" s="36" t="s">
        <v>122</v>
      </c>
    </row>
    <row r="39" spans="1:34" ht="16" customHeight="1" x14ac:dyDescent="0.35">
      <c r="B39" s="54" t="s">
        <v>65</v>
      </c>
      <c r="C39" s="25" t="s">
        <v>28</v>
      </c>
      <c r="D39" s="189"/>
      <c r="E39" s="196">
        <v>0</v>
      </c>
      <c r="F39" s="26">
        <f>'Master List of Items'!E54</f>
        <v>1000</v>
      </c>
      <c r="G39" s="27">
        <f t="shared" si="2"/>
        <v>0</v>
      </c>
      <c r="I39" s="36" t="s">
        <v>122</v>
      </c>
    </row>
    <row r="40" spans="1:34" ht="43.5" x14ac:dyDescent="0.35">
      <c r="B40" s="194" t="s">
        <v>248</v>
      </c>
      <c r="C40" s="34" t="s">
        <v>31</v>
      </c>
      <c r="D40" s="189"/>
      <c r="E40" s="196">
        <v>0</v>
      </c>
      <c r="F40" s="26">
        <f>'Master List of Items'!E55</f>
        <v>250</v>
      </c>
      <c r="G40" s="27">
        <f>E40*F40+3300</f>
        <v>3300</v>
      </c>
      <c r="I40" s="5" t="s">
        <v>252</v>
      </c>
    </row>
    <row r="41" spans="1:34" ht="43.5" x14ac:dyDescent="0.35">
      <c r="B41" s="194" t="s">
        <v>249</v>
      </c>
      <c r="C41" s="222" t="s">
        <v>28</v>
      </c>
      <c r="D41" s="189"/>
      <c r="E41" s="196">
        <v>0</v>
      </c>
      <c r="F41" s="26">
        <f>'Master List of Items'!E56</f>
        <v>37000</v>
      </c>
      <c r="G41" s="27">
        <f t="shared" ref="G41" si="3">E41*F41</f>
        <v>0</v>
      </c>
      <c r="I41" s="5" t="s">
        <v>267</v>
      </c>
    </row>
    <row r="42" spans="1:34" s="4" customFormat="1" ht="29" customHeight="1" x14ac:dyDescent="0.35">
      <c r="A42" s="2"/>
      <c r="B42" s="82" t="s">
        <v>83</v>
      </c>
      <c r="C42" s="87"/>
      <c r="D42" s="87"/>
      <c r="E42" s="88"/>
      <c r="F42" s="90"/>
      <c r="G42" s="83">
        <f>SUM(G22:G26)+SUM(G12:G16)+SUM(G28:G31)+SUM(G33:G34)+SUM(G36:G41)</f>
        <v>3300</v>
      </c>
      <c r="I42" s="37"/>
      <c r="J42" s="37"/>
      <c r="K42" s="37"/>
      <c r="L42" s="37"/>
      <c r="M42" s="5"/>
      <c r="N42" s="5"/>
      <c r="O42" s="5"/>
      <c r="P42" s="5"/>
      <c r="Q42" s="3"/>
      <c r="R42" s="5"/>
      <c r="S42" s="3"/>
      <c r="T42" s="5"/>
      <c r="U42" s="5"/>
      <c r="V42" s="5"/>
      <c r="W42" s="5"/>
      <c r="X42" s="5"/>
      <c r="Y42" s="5"/>
      <c r="Z42" s="5"/>
      <c r="AA42" s="5"/>
      <c r="AB42" s="5"/>
      <c r="AC42" s="6"/>
      <c r="AD42" s="1"/>
      <c r="AE42"/>
      <c r="AF42"/>
      <c r="AG42"/>
      <c r="AH42"/>
    </row>
    <row r="43" spans="1:34" s="4" customFormat="1" ht="16" customHeight="1" x14ac:dyDescent="0.35">
      <c r="A43" s="2"/>
      <c r="B43" s="28" t="s">
        <v>23</v>
      </c>
      <c r="C43" s="53" t="s">
        <v>101</v>
      </c>
      <c r="E43" s="15"/>
      <c r="F43" s="137">
        <v>0.5</v>
      </c>
      <c r="G43" s="29">
        <f>F43*G42</f>
        <v>1650</v>
      </c>
      <c r="I43" s="323" t="s">
        <v>197</v>
      </c>
      <c r="J43" s="323"/>
      <c r="K43" s="323"/>
      <c r="L43" s="323"/>
      <c r="M43" s="323"/>
      <c r="N43" s="323"/>
      <c r="O43" s="146"/>
      <c r="P43" s="5"/>
      <c r="Q43" s="3"/>
      <c r="R43" s="5"/>
      <c r="S43" s="3"/>
      <c r="T43" s="5"/>
      <c r="U43" s="5"/>
      <c r="V43" s="5"/>
      <c r="W43" s="5"/>
      <c r="X43" s="5"/>
      <c r="Y43" s="5"/>
      <c r="Z43" s="5"/>
      <c r="AA43" s="5"/>
      <c r="AB43" s="5"/>
      <c r="AC43" s="6"/>
      <c r="AD43" s="1"/>
      <c r="AE43"/>
      <c r="AF43"/>
      <c r="AG43"/>
      <c r="AH43"/>
    </row>
    <row r="44" spans="1:34" s="4" customFormat="1" ht="29" customHeight="1" x14ac:dyDescent="0.35">
      <c r="A44" s="2"/>
      <c r="B44" s="82" t="s">
        <v>82</v>
      </c>
      <c r="C44" s="102" t="s">
        <v>26</v>
      </c>
      <c r="D44" s="102"/>
      <c r="E44" s="102"/>
      <c r="F44" s="91"/>
      <c r="G44" s="83">
        <f>G42+G43</f>
        <v>4950</v>
      </c>
      <c r="I44" s="141"/>
      <c r="J44" s="141"/>
      <c r="K44" s="141"/>
      <c r="L44" s="141"/>
      <c r="M44" s="5"/>
      <c r="N44" s="5"/>
      <c r="O44" s="5"/>
      <c r="P44" s="5"/>
      <c r="Q44" s="3"/>
      <c r="R44" s="5"/>
      <c r="S44" s="3"/>
      <c r="T44" s="5"/>
      <c r="U44" s="5"/>
      <c r="V44" s="5"/>
      <c r="W44" s="5"/>
      <c r="X44" s="5"/>
      <c r="Y44" s="5"/>
      <c r="Z44" s="5"/>
      <c r="AA44" s="5"/>
      <c r="AB44" s="5"/>
      <c r="AC44" s="6"/>
      <c r="AD44" s="1"/>
      <c r="AE44"/>
      <c r="AF44"/>
      <c r="AG44"/>
      <c r="AH44"/>
    </row>
    <row r="45" spans="1:34" s="4" customFormat="1" ht="16" customHeight="1" x14ac:dyDescent="0.35">
      <c r="A45" s="2"/>
      <c r="B45" s="28" t="s">
        <v>84</v>
      </c>
      <c r="C45" s="53" t="s">
        <v>102</v>
      </c>
      <c r="D45" s="129"/>
      <c r="E45" s="129"/>
      <c r="F45" s="203">
        <v>0.3</v>
      </c>
      <c r="G45" s="29">
        <f>F45*G44</f>
        <v>1485</v>
      </c>
      <c r="I45" s="36" t="s">
        <v>192</v>
      </c>
      <c r="J45" s="36"/>
      <c r="K45" s="36"/>
      <c r="L45" s="36"/>
      <c r="M45" s="5"/>
      <c r="N45" s="5"/>
      <c r="O45" s="5"/>
      <c r="P45" s="5"/>
      <c r="Q45" s="3"/>
      <c r="R45" s="5"/>
      <c r="S45" s="3"/>
      <c r="T45" s="5"/>
      <c r="U45" s="5"/>
      <c r="V45" s="5"/>
      <c r="W45" s="5"/>
      <c r="X45" s="5"/>
      <c r="Y45" s="5"/>
      <c r="Z45" s="5"/>
      <c r="AA45" s="5"/>
      <c r="AB45" s="5"/>
      <c r="AC45" s="6"/>
      <c r="AD45" s="1"/>
      <c r="AE45"/>
      <c r="AF45"/>
      <c r="AG45"/>
      <c r="AH45"/>
    </row>
    <row r="46" spans="1:34" s="4" customFormat="1" ht="29" customHeight="1" x14ac:dyDescent="0.35">
      <c r="A46" s="2"/>
      <c r="B46" s="82" t="s">
        <v>103</v>
      </c>
      <c r="C46" s="102" t="s">
        <v>26</v>
      </c>
      <c r="D46" s="102"/>
      <c r="E46" s="102"/>
      <c r="F46" s="91"/>
      <c r="G46" s="83">
        <f>G44+G45</f>
        <v>6435</v>
      </c>
      <c r="I46" s="132" t="s">
        <v>26</v>
      </c>
      <c r="J46" s="36"/>
      <c r="K46" s="36"/>
      <c r="L46" s="36"/>
      <c r="M46" s="5"/>
      <c r="N46" s="5"/>
      <c r="O46" s="5"/>
      <c r="P46" s="5"/>
      <c r="Q46" s="3"/>
      <c r="R46" s="5"/>
      <c r="S46" s="3"/>
      <c r="T46" s="5"/>
      <c r="U46" s="5"/>
      <c r="V46" s="5"/>
      <c r="W46" s="5"/>
      <c r="X46" s="5"/>
      <c r="Y46" s="5"/>
      <c r="Z46" s="5"/>
      <c r="AA46" s="5"/>
      <c r="AB46" s="5"/>
      <c r="AC46" s="6"/>
      <c r="AD46" s="1"/>
      <c r="AE46"/>
      <c r="AF46"/>
      <c r="AG46"/>
      <c r="AH46"/>
    </row>
    <row r="47" spans="1:34" s="4" customFormat="1" ht="16" customHeight="1" thickBot="1" x14ac:dyDescent="0.4">
      <c r="A47" s="2"/>
      <c r="B47" s="197" t="s">
        <v>24</v>
      </c>
      <c r="C47" s="198" t="s">
        <v>104</v>
      </c>
      <c r="D47" s="199"/>
      <c r="E47" s="200"/>
      <c r="F47" s="201">
        <v>0.2</v>
      </c>
      <c r="G47" s="202">
        <f>F47*G46</f>
        <v>1287</v>
      </c>
      <c r="I47" s="36" t="s">
        <v>188</v>
      </c>
      <c r="J47" s="36"/>
      <c r="K47" s="36"/>
      <c r="L47" s="36"/>
      <c r="M47" s="5"/>
      <c r="N47" s="5"/>
      <c r="O47" s="5"/>
      <c r="P47" s="5"/>
      <c r="Q47" s="3"/>
      <c r="R47" s="5"/>
      <c r="S47" s="3"/>
      <c r="T47" s="5"/>
      <c r="U47" s="5"/>
      <c r="V47" s="5"/>
      <c r="W47" s="5"/>
      <c r="X47" s="5"/>
      <c r="Y47" s="5"/>
      <c r="Z47" s="5"/>
      <c r="AA47" s="5"/>
      <c r="AB47" s="5"/>
      <c r="AC47" s="6"/>
      <c r="AD47" s="1"/>
      <c r="AE47"/>
      <c r="AF47"/>
      <c r="AG47"/>
      <c r="AH47"/>
    </row>
    <row r="48" spans="1:34" s="4" customFormat="1" ht="29" customHeight="1" thickBot="1" x14ac:dyDescent="0.4">
      <c r="A48" s="2"/>
      <c r="B48" s="287" t="s">
        <v>105</v>
      </c>
      <c r="C48" s="275"/>
      <c r="D48" s="275"/>
      <c r="E48" s="120"/>
      <c r="F48" s="121" t="s">
        <v>26</v>
      </c>
      <c r="G48" s="122">
        <f>ROUND(SUM(G46:G47), -2)</f>
        <v>7700</v>
      </c>
      <c r="H48" s="5"/>
      <c r="I48" s="5"/>
      <c r="J48" s="5"/>
      <c r="K48" s="5"/>
      <c r="L48" s="5"/>
      <c r="M48" s="5"/>
      <c r="N48" s="5"/>
      <c r="O48" s="5"/>
      <c r="P48" s="5"/>
      <c r="Q48" s="3"/>
      <c r="R48" s="5"/>
      <c r="S48" s="3"/>
      <c r="T48" s="5"/>
      <c r="U48" s="5"/>
      <c r="V48" s="5"/>
      <c r="W48" s="5"/>
      <c r="X48" s="5"/>
      <c r="Y48" s="5"/>
      <c r="Z48" s="5"/>
      <c r="AA48" s="5"/>
      <c r="AB48" s="5"/>
      <c r="AC48" s="6"/>
      <c r="AD48" s="1"/>
      <c r="AE48"/>
      <c r="AF48"/>
      <c r="AG48"/>
      <c r="AH48"/>
    </row>
  </sheetData>
  <sheetProtection algorithmName="SHA-512" hashValue="J+q28TdF8U+qh4pplR18x67hcBnRUVenOqsBwctEiMSmeD0GJFwtKTU2yDwTg189Ggw2VPSkXB2Njq2QLr6R5A==" saltValue="WwQBa7R+LqN6EGGdOt4WpQ==" spinCount="100000" sheet="1" objects="1" scenarios="1"/>
  <mergeCells count="9">
    <mergeCell ref="B2:G2"/>
    <mergeCell ref="B3:G3"/>
    <mergeCell ref="I4:L4"/>
    <mergeCell ref="I43:N43"/>
    <mergeCell ref="I33:M33"/>
    <mergeCell ref="I34:M34"/>
    <mergeCell ref="I18:N18"/>
    <mergeCell ref="I19:N19"/>
    <mergeCell ref="I20:N20"/>
  </mergeCells>
  <dataValidations xWindow="642" yWindow="783" count="5">
    <dataValidation allowBlank="1" showInputMessage="1" showErrorMessage="1" promptTitle="Bike Lane Ahead" prompt="Enter additional quanities for this type of sign, if desired or required." sqref="E23" xr:uid="{A408C3E2-8898-4401-9D3C-4D7C56D47F9C}"/>
    <dataValidation allowBlank="1" showInputMessage="1" showErrorMessage="1" promptTitle="Bike Lane Ends" prompt="Enter additional quanities for this type of sign, if desired or required." sqref="E24" xr:uid="{2C94204A-C2B9-4C11-8F7E-17BCB8D2922C}"/>
    <dataValidation allowBlank="1" showInputMessage="1" showErrorMessage="1" promptTitle="Bikes May Use Full Lane" prompt="Enter additional quanities for this type of sign, if desired or required." sqref="E26" xr:uid="{A61B223A-F75F-4607-897E-1DCE36D01ED5}"/>
    <dataValidation allowBlank="1" showInputMessage="1" showErrorMessage="1" promptTitle="Green pavement marking" prompt="Green pavement marking is used to highlight conflict zones through intersections.  For this quantity, green pavement is calculated for each intersection and 10' to both sides of the intersection._x000a_" sqref="E16:E17" xr:uid="{0A3526A6-28C5-468B-AB15-956F8950073B}"/>
    <dataValidation type="list" allowBlank="1" showInputMessage="1" showErrorMessage="1" sqref="E6" xr:uid="{A6285A9F-13BA-47C2-9B5C-31D430448252}">
      <formula1>"ONE, BOTH"</formula1>
    </dataValidation>
  </dataValidations>
  <pageMargins left="0.25" right="0.25" top="0.75" bottom="0.75" header="0.3" footer="0.3"/>
  <pageSetup paperSize="3" scale="30" fitToHeight="0" orientation="landscape" r:id="rId1"/>
  <ignoredErrors>
    <ignoredError sqref="E13"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2E59E43900A041AB301E9C6F8ACD76" ma:contentTypeVersion="3" ma:contentTypeDescription="Create a new document." ma:contentTypeScope="" ma:versionID="ff2ba04adab6319bc92f70e486fa425d">
  <xsd:schema xmlns:xsd="http://www.w3.org/2001/XMLSchema" xmlns:xs="http://www.w3.org/2001/XMLSchema" xmlns:p="http://schemas.microsoft.com/office/2006/metadata/properties" xmlns:ns2="3a04c534-3d27-4f18-8a25-09613d387b19" xmlns:ns3="3f919f12-12a8-48ea-bd7d-1fbdce651874" targetNamespace="http://schemas.microsoft.com/office/2006/metadata/properties" ma:root="true" ma:fieldsID="d84cb0d3b678567188803c734be27a6b" ns2:_="" ns3:_="">
    <xsd:import namespace="3a04c534-3d27-4f18-8a25-09613d387b19"/>
    <xsd:import namespace="3f919f12-12a8-48ea-bd7d-1fbdce651874"/>
    <xsd:element name="properties">
      <xsd:complexType>
        <xsd:sequence>
          <xsd:element name="documentManagement">
            <xsd:complexType>
              <xsd:all>
                <xsd:element ref="ns2:Category" minOccurs="0"/>
                <xsd:element ref="ns3:SharedWithUsers" minOccurs="0"/>
                <xsd:element ref="ns2:Sub_x002d_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04c534-3d27-4f18-8a25-09613d387b19" elementFormDefault="qualified">
    <xsd:import namespace="http://schemas.microsoft.com/office/2006/documentManagement/types"/>
    <xsd:import namespace="http://schemas.microsoft.com/office/infopath/2007/PartnerControls"/>
    <xsd:element name="Category" ma:index="8" nillable="true" ma:displayName="Category" ma:format="Dropdown" ma:indexed="true" ma:internalName="Category">
      <xsd:simpleType>
        <xsd:restriction base="dms:Choice">
          <xsd:enumeration value="Home"/>
          <xsd:enumeration value="Long-Range Planning"/>
          <xsd:enumeration value="Regional Planning"/>
          <xsd:enumeration value="Capital Programming"/>
          <xsd:enumeration value="Commuter Choice"/>
          <xsd:enumeration value="Freight"/>
          <xsd:enumeration value="Bike/Walk"/>
          <xsd:enumeration value="Environmental"/>
          <xsd:enumeration value="Emerging Technologies"/>
          <xsd:enumeration value="Maryland Attainment Report"/>
          <xsd:enumeration value="Grants"/>
        </xsd:restriction>
      </xsd:simpleType>
    </xsd:element>
    <xsd:element name="Sub_x002d_Category" ma:index="10" nillable="true" ma:displayName="Sub-Category" ma:format="Dropdown" ma:internalName="Sub_x002d_Category">
      <xsd:simpleType>
        <xsd:restriction base="dms:Choice">
          <xsd:enumeration value="For Employers"/>
          <xsd:enumeration value="For Commuters"/>
          <xsd:enumeration value="Resource Library"/>
          <xsd:enumeration value="incenTrip"/>
          <xsd:enumeration value="Bikeways"/>
          <xsd:enumeration value="Chapter 30 Scoring"/>
          <xsd:enumeration value="Priority Letters"/>
          <xsd:enumeration value="Meeting Minutes"/>
          <xsd:enumeration value="Meeting Agendas"/>
          <xsd:enumeration value="Priority Letter Maps"/>
          <xsd:enumeration value="Attainment Report"/>
          <xsd:enumeration value="MBPAC"/>
          <xsd:enumeration value="STIP"/>
          <xsd:enumeration value="ZEEVIC"/>
          <xsd:enumeration value="BUILD"/>
          <xsd:enumeration value="INFRA"/>
        </xsd:restriction>
      </xsd:simpleType>
    </xsd:element>
  </xsd:schema>
  <xsd:schema xmlns:xsd="http://www.w3.org/2001/XMLSchema" xmlns:xs="http://www.w3.org/2001/XMLSchema" xmlns:dms="http://schemas.microsoft.com/office/2006/documentManagement/types" xmlns:pc="http://schemas.microsoft.com/office/infopath/2007/PartnerControls" targetNamespace="3f919f12-12a8-48ea-bd7d-1fbdce65187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3a04c534-3d27-4f18-8a25-09613d387b19" xsi:nil="true"/>
    <Sub_x002d_Category xmlns="3a04c534-3d27-4f18-8a25-09613d387b19" xsi:nil="true"/>
  </documentManagement>
</p:properties>
</file>

<file path=customXml/itemProps1.xml><?xml version="1.0" encoding="utf-8"?>
<ds:datastoreItem xmlns:ds="http://schemas.openxmlformats.org/officeDocument/2006/customXml" ds:itemID="{6183BAB4-889E-42C4-9134-A4C9C28940E2}"/>
</file>

<file path=customXml/itemProps2.xml><?xml version="1.0" encoding="utf-8"?>
<ds:datastoreItem xmlns:ds="http://schemas.openxmlformats.org/officeDocument/2006/customXml" ds:itemID="{4B0ADA8A-A2D6-4F92-AD14-7A0F61E9788D}">
  <ds:schemaRefs>
    <ds:schemaRef ds:uri="http://schemas.microsoft.com/sharepoint/v3/contenttype/forms"/>
  </ds:schemaRefs>
</ds:datastoreItem>
</file>

<file path=customXml/itemProps3.xml><?xml version="1.0" encoding="utf-8"?>
<ds:datastoreItem xmlns:ds="http://schemas.openxmlformats.org/officeDocument/2006/customXml" ds:itemID="{E7F355AA-5636-4008-81F2-B499475A66E5}">
  <ds:schemaRef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 ds:uri="d3a5dc53-10b4-481a-8abc-9ac009cfd379"/>
    <ds:schemaRef ds:uri="0088be67-ae47-4210-84f8-a25e994ac91b"/>
    <ds:schemaRef ds:uri="http://purl.org/dc/dcmitype/"/>
    <ds:schemaRef ds:uri="8a788ad4-f382-4838-988e-07fdbfb020d0"/>
    <ds:schemaRef ds:uri="269f65b3-12dd-4708-be1b-59d65dfc2d92"/>
    <ds:schemaRef ds:uri="http://schemas.microsoft.com/sharepoint/v3"/>
  </ds:schemaRefs>
</ds:datastoreItem>
</file>

<file path=docMetadata/LabelInfo.xml><?xml version="1.0" encoding="utf-8"?>
<clbl:labelList xmlns:clbl="http://schemas.microsoft.com/office/2020/mipLabelMetadata">
  <clbl:label id="{b38cd27c-57ca-4597-be28-22df43dd47f1}" enabled="0" method="" siteId="{b38cd27c-57ca-4597-be28-22df43dd47f1}" removed="1"/>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INSTRUCTIONS</vt:lpstr>
      <vt:lpstr>Introduction</vt:lpstr>
      <vt:lpstr>Table of Contents</vt:lpstr>
      <vt:lpstr>Master List of Items</vt:lpstr>
      <vt:lpstr>Shared Lane</vt:lpstr>
      <vt:lpstr>Bike Lane Curbside</vt:lpstr>
      <vt:lpstr>Bike Lane w Parking</vt:lpstr>
      <vt:lpstr>Buffer Bike Lane Curbside</vt:lpstr>
      <vt:lpstr>Protected Two-Way Bike Lane</vt:lpstr>
      <vt:lpstr>Bike Blvd</vt:lpstr>
      <vt:lpstr>Shared-Use Paths</vt:lpstr>
      <vt:lpstr>Complete Sts Intersection</vt:lpstr>
      <vt:lpstr>'Bike Blvd'!Print_Area</vt:lpstr>
      <vt:lpstr>'Bike Lane Curbside'!Print_Area</vt:lpstr>
      <vt:lpstr>'Bike Lane w Parking'!Print_Area</vt:lpstr>
      <vt:lpstr>'Buffer Bike Lane Curbside'!Print_Area</vt:lpstr>
      <vt:lpstr>'Complete Sts Intersection'!Print_Area</vt:lpstr>
      <vt:lpstr>INSTRUCTIONS!Print_Area</vt:lpstr>
      <vt:lpstr>Introduction!Print_Area</vt:lpstr>
      <vt:lpstr>'Master List of Items'!Print_Area</vt:lpstr>
      <vt:lpstr>'Protected Two-Way Bike Lane'!Print_Area</vt:lpstr>
      <vt:lpstr>'Shared Lane'!Print_Area</vt:lpstr>
      <vt:lpstr>'Shared-Use Paths'!Print_Area</vt:lpstr>
      <vt:lpstr>'Table of Contents'!Print_Area</vt:lpstr>
      <vt:lpstr>'Table of Contents'!Print_Titles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Nate Evans</dc:creator>
  <cp:keywords/>
  <dc:description/>
  <cp:lastModifiedBy>Quinn Wallace</cp:lastModifiedBy>
  <cp:revision/>
  <cp:lastPrinted>2026-07-16T15:50:36Z</cp:lastPrinted>
  <dcterms:created xsi:type="dcterms:W3CDTF">2019-04-02T18:46:05Z</dcterms:created>
  <dcterms:modified xsi:type="dcterms:W3CDTF">2026-08-05T19:55:18Z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0x010100A32E59E43900A041AB301E9C6F8ACD76</vt:lpwstr>
  </property>
  <property fmtid="{D5CDD505-2E9C-101B-9397-08002B2CF9AE}" pid="3" name="MediaServiceImageTags">
    <vt:lpwstr/>
  </property>
</Properties>
</file>